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B2C1DC3-3C0C-4744-BBFF-B6749BC108B7}" xr6:coauthVersionLast="47" xr6:coauthVersionMax="47" xr10:uidLastSave="{00000000-0000-0000-0000-000000000000}"/>
  <bookViews>
    <workbookView xWindow="-120" yWindow="-120" windowWidth="20640" windowHeight="11760" activeTab="2" xr2:uid="{00000000-000D-0000-FFFF-FFFF00000000}"/>
  </bookViews>
  <sheets>
    <sheet name="Executive Dashboard" sheetId="1" r:id="rId1"/>
    <sheet name="Fuel Logs" sheetId="2" r:id="rId2"/>
    <sheet name="Delivery Lo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2" i="1"/>
  <c r="E13" i="1"/>
  <c r="E14" i="1"/>
  <c r="E15" i="1"/>
  <c r="E22" i="1"/>
  <c r="E23" i="1"/>
  <c r="E24" i="1"/>
  <c r="E25" i="1"/>
  <c r="E26" i="1"/>
  <c r="E27" i="1"/>
  <c r="B6" i="1"/>
  <c r="C12" i="1"/>
  <c r="C13" i="1"/>
  <c r="C14" i="1"/>
  <c r="C15" i="1"/>
  <c r="G15" i="1" s="1"/>
  <c r="C22" i="1"/>
  <c r="C23" i="1"/>
  <c r="C24" i="1"/>
  <c r="C25" i="1"/>
  <c r="C26" i="1"/>
  <c r="C27" i="1"/>
  <c r="H35" i="3"/>
  <c r="F35" i="3"/>
  <c r="I34" i="3"/>
  <c r="K34" i="3" s="1"/>
  <c r="I33" i="3"/>
  <c r="J33" i="3" s="1"/>
  <c r="I32" i="3"/>
  <c r="K32" i="3" s="1"/>
  <c r="I31" i="3"/>
  <c r="K31" i="3" s="1"/>
  <c r="I30" i="3"/>
  <c r="K30" i="3" s="1"/>
  <c r="I29" i="3"/>
  <c r="J29" i="3" s="1"/>
  <c r="K28" i="3"/>
  <c r="J28" i="3"/>
  <c r="I28" i="3"/>
  <c r="I27" i="3"/>
  <c r="K27" i="3" s="1"/>
  <c r="I26" i="3"/>
  <c r="K26" i="3" s="1"/>
  <c r="K25" i="3"/>
  <c r="I25" i="3"/>
  <c r="J25" i="3" s="1"/>
  <c r="I24" i="3"/>
  <c r="K24" i="3" s="1"/>
  <c r="I23" i="3"/>
  <c r="K23" i="3" s="1"/>
  <c r="I22" i="3"/>
  <c r="K22" i="3" s="1"/>
  <c r="I21" i="3"/>
  <c r="J21" i="3" s="1"/>
  <c r="I20" i="3"/>
  <c r="K20" i="3" s="1"/>
  <c r="I19" i="3"/>
  <c r="K19" i="3" s="1"/>
  <c r="I18" i="3"/>
  <c r="K18" i="3" s="1"/>
  <c r="I17" i="3"/>
  <c r="J17" i="3" s="1"/>
  <c r="I16" i="3"/>
  <c r="K16" i="3" s="1"/>
  <c r="I15" i="3"/>
  <c r="K15" i="3" s="1"/>
  <c r="I14" i="3"/>
  <c r="K14" i="3" s="1"/>
  <c r="I13" i="3"/>
  <c r="J13" i="3" s="1"/>
  <c r="I12" i="3"/>
  <c r="K12" i="3" s="1"/>
  <c r="I11" i="3"/>
  <c r="K11" i="3" s="1"/>
  <c r="I10" i="3"/>
  <c r="K10" i="3" s="1"/>
  <c r="I9" i="3"/>
  <c r="J9" i="3" s="1"/>
  <c r="I8" i="3"/>
  <c r="I7" i="3"/>
  <c r="K7" i="3" s="1"/>
  <c r="I6" i="3"/>
  <c r="K6" i="3" s="1"/>
  <c r="I5" i="3"/>
  <c r="J5" i="3" s="1"/>
  <c r="H35" i="2"/>
  <c r="G35" i="2"/>
  <c r="F35" i="2"/>
  <c r="K35" i="2" s="1"/>
  <c r="K34" i="2"/>
  <c r="J34" i="2"/>
  <c r="I34" i="2"/>
  <c r="K33" i="2"/>
  <c r="I33" i="2"/>
  <c r="J33" i="2" s="1"/>
  <c r="K32" i="2"/>
  <c r="J32" i="2"/>
  <c r="I32" i="2"/>
  <c r="K31" i="2"/>
  <c r="I31" i="2"/>
  <c r="J31" i="2" s="1"/>
  <c r="K30" i="2"/>
  <c r="J30" i="2"/>
  <c r="I30" i="2"/>
  <c r="K29" i="2"/>
  <c r="I29" i="2"/>
  <c r="J29" i="2" s="1"/>
  <c r="K28" i="2"/>
  <c r="J28" i="2"/>
  <c r="I28" i="2"/>
  <c r="K27" i="2"/>
  <c r="I27" i="2"/>
  <c r="J27" i="2" s="1"/>
  <c r="K26" i="2"/>
  <c r="J26" i="2"/>
  <c r="I26" i="2"/>
  <c r="K25" i="2"/>
  <c r="I25" i="2"/>
  <c r="J25" i="2" s="1"/>
  <c r="K24" i="2"/>
  <c r="J24" i="2"/>
  <c r="I24" i="2"/>
  <c r="K23" i="2"/>
  <c r="I23" i="2"/>
  <c r="J23" i="2" s="1"/>
  <c r="K22" i="2"/>
  <c r="J22" i="2"/>
  <c r="I22" i="2"/>
  <c r="K21" i="2"/>
  <c r="I21" i="2"/>
  <c r="J21" i="2" s="1"/>
  <c r="K20" i="2"/>
  <c r="J20" i="2"/>
  <c r="I20" i="2"/>
  <c r="K19" i="2"/>
  <c r="I19" i="2"/>
  <c r="J19" i="2" s="1"/>
  <c r="K18" i="2"/>
  <c r="J18" i="2"/>
  <c r="I18" i="2"/>
  <c r="K17" i="2"/>
  <c r="I17" i="2"/>
  <c r="J17" i="2" s="1"/>
  <c r="K16" i="2"/>
  <c r="J16" i="2"/>
  <c r="I16" i="2"/>
  <c r="K15" i="2"/>
  <c r="I15" i="2"/>
  <c r="J15" i="2" s="1"/>
  <c r="K14" i="2"/>
  <c r="J14" i="2"/>
  <c r="I14" i="2"/>
  <c r="K13" i="2"/>
  <c r="I13" i="2"/>
  <c r="J13" i="2" s="1"/>
  <c r="K12" i="2"/>
  <c r="J12" i="2"/>
  <c r="I12" i="2"/>
  <c r="K11" i="2"/>
  <c r="I11" i="2"/>
  <c r="J11" i="2" s="1"/>
  <c r="K10" i="2"/>
  <c r="J10" i="2"/>
  <c r="I10" i="2"/>
  <c r="K9" i="2"/>
  <c r="I9" i="2"/>
  <c r="J9" i="2" s="1"/>
  <c r="K8" i="2"/>
  <c r="J8" i="2"/>
  <c r="I8" i="2"/>
  <c r="K7" i="2"/>
  <c r="I7" i="2"/>
  <c r="J7" i="2" s="1"/>
  <c r="K6" i="2"/>
  <c r="J6" i="2"/>
  <c r="I6" i="2"/>
  <c r="K5" i="2"/>
  <c r="I5" i="2"/>
  <c r="I35" i="2" s="1"/>
  <c r="J35" i="2" s="1"/>
  <c r="D27" i="1"/>
  <c r="D26" i="1"/>
  <c r="D25" i="1"/>
  <c r="D24" i="1"/>
  <c r="D23" i="1"/>
  <c r="D22" i="1"/>
  <c r="H15" i="1"/>
  <c r="D15" i="1"/>
  <c r="F15" i="1" s="1"/>
  <c r="H14" i="1"/>
  <c r="D14" i="1"/>
  <c r="H13" i="1"/>
  <c r="D13" i="1"/>
  <c r="H12" i="1"/>
  <c r="D12" i="1"/>
  <c r="H6" i="1"/>
  <c r="K9" i="3" l="1"/>
  <c r="K13" i="3"/>
  <c r="I13" i="1" s="1"/>
  <c r="K6" i="1"/>
  <c r="K17" i="3"/>
  <c r="H23" i="1" s="1"/>
  <c r="I23" i="1" s="1"/>
  <c r="K5" i="3"/>
  <c r="K21" i="3"/>
  <c r="J24" i="3"/>
  <c r="J8" i="3"/>
  <c r="J12" i="3"/>
  <c r="J16" i="3"/>
  <c r="J20" i="3"/>
  <c r="F26" i="1"/>
  <c r="G26" i="1" s="1"/>
  <c r="F24" i="1"/>
  <c r="G24" i="1" s="1"/>
  <c r="F22" i="1"/>
  <c r="G22" i="1" s="1"/>
  <c r="J6" i="3"/>
  <c r="K8" i="3"/>
  <c r="H26" i="1" s="1"/>
  <c r="I26" i="1" s="1"/>
  <c r="J10" i="3"/>
  <c r="J14" i="3"/>
  <c r="J18" i="3"/>
  <c r="K29" i="3"/>
  <c r="J32" i="3"/>
  <c r="F27" i="1"/>
  <c r="G27" i="1" s="1"/>
  <c r="F25" i="1"/>
  <c r="F23" i="1"/>
  <c r="G23" i="1" s="1"/>
  <c r="F13" i="1"/>
  <c r="E16" i="1"/>
  <c r="G16" i="1" s="1"/>
  <c r="F12" i="1"/>
  <c r="G14" i="1"/>
  <c r="F14" i="1"/>
  <c r="D16" i="1"/>
  <c r="C16" i="1"/>
  <c r="H16" i="1"/>
  <c r="G13" i="1"/>
  <c r="G25" i="1"/>
  <c r="H24" i="1"/>
  <c r="I24" i="1" s="1"/>
  <c r="H22" i="1"/>
  <c r="I22" i="1" s="1"/>
  <c r="H25" i="1"/>
  <c r="I25" i="1" s="1"/>
  <c r="K33" i="3"/>
  <c r="G12" i="1"/>
  <c r="J7" i="3"/>
  <c r="J11" i="3"/>
  <c r="J15" i="3"/>
  <c r="J19" i="3"/>
  <c r="J23" i="3"/>
  <c r="J27" i="3"/>
  <c r="J31" i="3"/>
  <c r="J22" i="3"/>
  <c r="J26" i="3"/>
  <c r="J30" i="3"/>
  <c r="J34" i="3"/>
  <c r="I35" i="3"/>
  <c r="J5" i="2"/>
  <c r="H27" i="1" l="1"/>
  <c r="I27" i="1" s="1"/>
  <c r="I15" i="1"/>
  <c r="I12" i="1"/>
  <c r="N6" i="1"/>
  <c r="I14" i="1"/>
  <c r="J35" i="3"/>
  <c r="F16" i="1"/>
  <c r="I16" i="1"/>
</calcChain>
</file>

<file path=xl/sharedStrings.xml><?xml version="1.0" encoding="utf-8"?>
<sst xmlns="http://schemas.openxmlformats.org/spreadsheetml/2006/main" count="395" uniqueCount="153">
  <si>
    <t>LOGI-FLOW INDIA | FLEET &amp; DELIVERY ANALYTICS DASHBOARD</t>
  </si>
  <si>
    <t>Executive Summary: Fuel Expense Monitoring &amp; Delivery Turnaround Performance (PAN-India Operations)</t>
  </si>
  <si>
    <t>TOTAL FUEL EXPENSE</t>
  </si>
  <si>
    <t>TOTAL DISTANCE (KM)</t>
  </si>
  <si>
    <t>AVG FLEET MILEAGE</t>
  </si>
  <si>
    <t>AVG TURNAROUND TIME</t>
  </si>
  <si>
    <t>ON-TIME DELIVERY RATE</t>
  </si>
  <si>
    <t>Vehicle Type Performance &amp; Efficiency Summary</t>
  </si>
  <si>
    <t>Vehicle Type</t>
  </si>
  <si>
    <t>Total Distance (KM)</t>
  </si>
  <si>
    <t>Total Fuel (L)</t>
  </si>
  <si>
    <t>Total Cost (₹)</t>
  </si>
  <si>
    <t>Avg Mileage (km/L)</t>
  </si>
  <si>
    <t>Cost per KM (₹)</t>
  </si>
  <si>
    <t>Delivered Shipments</t>
  </si>
  <si>
    <t>On-Time Rate</t>
  </si>
  <si>
    <t>3-Wheeler EV</t>
  </si>
  <si>
    <t>Tata Ace (LCV)</t>
  </si>
  <si>
    <t>Eicher 14ft (MCV)</t>
  </si>
  <si>
    <t>BharatBenz 10-Wheeler</t>
  </si>
  <si>
    <t>Total / Fleet Avg</t>
  </si>
  <si>
    <t>Regional Route SLA &amp; Turnaround Performance Summary</t>
  </si>
  <si>
    <t>Route Origin - Destination</t>
  </si>
  <si>
    <t>Total Shipments</t>
  </si>
  <si>
    <t>Avg Distance (KM)</t>
  </si>
  <si>
    <t>Target TAT (hrs)</t>
  </si>
  <si>
    <t>Avg Actual TAT (hrs)</t>
  </si>
  <si>
    <t>TAT Variance (hrs)</t>
  </si>
  <si>
    <t>SLA Status</t>
  </si>
  <si>
    <t>Mumbai - Pune</t>
  </si>
  <si>
    <t>Delhi - Gurgaon</t>
  </si>
  <si>
    <t>Bengaluru - Chennai</t>
  </si>
  <si>
    <t>Delhi - Jaipur</t>
  </si>
  <si>
    <t>Kolkata - Patna</t>
  </si>
  <si>
    <t>Hyderabad - Vijayawada</t>
  </si>
  <si>
    <t>FLEET FUEL EXPENSE &amp; EFFICIENCY LOGS</t>
  </si>
  <si>
    <t>Log ID</t>
  </si>
  <si>
    <t>Date</t>
  </si>
  <si>
    <t>Vehicle Reg No</t>
  </si>
  <si>
    <t>Fuel Type</t>
  </si>
  <si>
    <t>Distance Traveled (KM)</t>
  </si>
  <si>
    <t>Fuel Consumed (L)</t>
  </si>
  <si>
    <t>Fuel Rate (₹/L)</t>
  </si>
  <si>
    <t>Total Fuel Cost (₹)</t>
  </si>
  <si>
    <t>Efficiency (km/L)</t>
  </si>
  <si>
    <t>Driver Name</t>
  </si>
  <si>
    <t>State / Hub</t>
  </si>
  <si>
    <t>FL-2026001</t>
  </si>
  <si>
    <t>DL-10-CE-8821</t>
  </si>
  <si>
    <t>Diesel</t>
  </si>
  <si>
    <t>Suresh Kumar</t>
  </si>
  <si>
    <t>Delhi-NCR</t>
  </si>
  <si>
    <t>FL-2026002</t>
  </si>
  <si>
    <t>TN-09-AK-4455</t>
  </si>
  <si>
    <t>Vikram Singh</t>
  </si>
  <si>
    <t>Karnataka</t>
  </si>
  <si>
    <t>FL-2026003</t>
  </si>
  <si>
    <t>MH-46-AR-9000</t>
  </si>
  <si>
    <t>Gurpreet Singh</t>
  </si>
  <si>
    <t>Tamil Nadu</t>
  </si>
  <si>
    <t>FL-2026004</t>
  </si>
  <si>
    <t>DL-01-EV-5542</t>
  </si>
  <si>
    <t>Electric</t>
  </si>
  <si>
    <t>Amit Patel</t>
  </si>
  <si>
    <t>Gujarat</t>
  </si>
  <si>
    <t>FL-2026005</t>
  </si>
  <si>
    <t>KA-05-D-3310</t>
  </si>
  <si>
    <t>Rajesh Verma</t>
  </si>
  <si>
    <t>West Bengal</t>
  </si>
  <si>
    <t>FL-2026006</t>
  </si>
  <si>
    <t>MH-04-GP-7711</t>
  </si>
  <si>
    <t>Anil Yadav</t>
  </si>
  <si>
    <t>Maharashtra</t>
  </si>
  <si>
    <t>FL-2026007</t>
  </si>
  <si>
    <t>GJ-06-ZZ-3344</t>
  </si>
  <si>
    <t>Dinesh Karthik</t>
  </si>
  <si>
    <t>FL-2026008</t>
  </si>
  <si>
    <t>KA-03-EV-9901</t>
  </si>
  <si>
    <t>Rahul Sharma</t>
  </si>
  <si>
    <t>FL-2026009</t>
  </si>
  <si>
    <t>MH-14-BT-4021</t>
  </si>
  <si>
    <t>FL-2026010</t>
  </si>
  <si>
    <t>HR-38-X-1209</t>
  </si>
  <si>
    <t>FL-2026011</t>
  </si>
  <si>
    <t>KA-51-M-6789</t>
  </si>
  <si>
    <t>FL-2026012</t>
  </si>
  <si>
    <t>MH-12-EQ-1024</t>
  </si>
  <si>
    <t>FL-2026013</t>
  </si>
  <si>
    <t>FL-2026014</t>
  </si>
  <si>
    <t>FL-2026015</t>
  </si>
  <si>
    <t>FL-2026016</t>
  </si>
  <si>
    <t>FL-2026017</t>
  </si>
  <si>
    <t>FL-2026018</t>
  </si>
  <si>
    <t>FL-2026019</t>
  </si>
  <si>
    <t>FL-2026020</t>
  </si>
  <si>
    <t>FL-2026021</t>
  </si>
  <si>
    <t>FL-2026022</t>
  </si>
  <si>
    <t>FL-2026023</t>
  </si>
  <si>
    <t>FL-2026024</t>
  </si>
  <si>
    <t>FL-2026025</t>
  </si>
  <si>
    <t>FL-2026026</t>
  </si>
  <si>
    <t>FL-2026027</t>
  </si>
  <si>
    <t>FL-2026028</t>
  </si>
  <si>
    <t>FL-2026029</t>
  </si>
  <si>
    <t>FL-2026030</t>
  </si>
  <si>
    <t>Total / Average</t>
  </si>
  <si>
    <t>DELIVERY TURNAROUND &amp; SLA ANALYTICS LOGS</t>
  </si>
  <si>
    <t>Shipment ID</t>
  </si>
  <si>
    <t>Dispatch Date &amp; Time</t>
  </si>
  <si>
    <t>Delivery Date &amp; Time</t>
  </si>
  <si>
    <t>Route</t>
  </si>
  <si>
    <t>Distance (KM)</t>
  </si>
  <si>
    <t>Priority Level</t>
  </si>
  <si>
    <t>Actual TAT (hrs)</t>
  </si>
  <si>
    <t>TAT Delay (hrs)</t>
  </si>
  <si>
    <t>SLA Compliance</t>
  </si>
  <si>
    <t>Delay Reason</t>
  </si>
  <si>
    <t>SHP-9001</t>
  </si>
  <si>
    <t>Standard</t>
  </si>
  <si>
    <t>N/A - On Time</t>
  </si>
  <si>
    <t>SHP-9002</t>
  </si>
  <si>
    <t>SHP-9003</t>
  </si>
  <si>
    <t>Express</t>
  </si>
  <si>
    <t>SHP-9004</t>
  </si>
  <si>
    <t>Weather Breakdown</t>
  </si>
  <si>
    <t>SHP-9005</t>
  </si>
  <si>
    <t>SHP-9006</t>
  </si>
  <si>
    <t>SHP-9007</t>
  </si>
  <si>
    <t>SHP-9008</t>
  </si>
  <si>
    <t>SHP-9009</t>
  </si>
  <si>
    <t>SHP-9010</t>
  </si>
  <si>
    <t>SHP-9011</t>
  </si>
  <si>
    <t>SHP-9012</t>
  </si>
  <si>
    <t>Highway Toll Queue</t>
  </si>
  <si>
    <t>SHP-9013</t>
  </si>
  <si>
    <t>SHP-9014</t>
  </si>
  <si>
    <t>SHP-9015</t>
  </si>
  <si>
    <t>SHP-9016</t>
  </si>
  <si>
    <t>SHP-9017</t>
  </si>
  <si>
    <t>SHP-9018</t>
  </si>
  <si>
    <t>SHP-9019</t>
  </si>
  <si>
    <t>SHP-9020</t>
  </si>
  <si>
    <t>SHP-9021</t>
  </si>
  <si>
    <t>SHP-9022</t>
  </si>
  <si>
    <t>SHP-9023</t>
  </si>
  <si>
    <t>SHP-9024</t>
  </si>
  <si>
    <t>SHP-9025</t>
  </si>
  <si>
    <t>SHP-9026</t>
  </si>
  <si>
    <t>SHP-9027</t>
  </si>
  <si>
    <t>SHP-9028</t>
  </si>
  <si>
    <t>SHP-9029</t>
  </si>
  <si>
    <t>SHP-9030</t>
  </si>
  <si>
    <t>Average /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</si>
</sst>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₹#,##0.00"/>
    <numFmt numFmtId="165" formatCode="0.00\ &quot;km/L&quot;"/>
    <numFmt numFmtId="166" formatCode="0.0\ &quot;hrs&quot;"/>
    <numFmt numFmtId="167" formatCode="0.0%"/>
    <numFmt numFmtId="168" formatCode="dd\-mmm\-yyyy"/>
    <numFmt numFmtId="169" formatCode="dd\-mmm\-yyyy\ hh:mm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Segoe UI"/>
    </font>
    <font>
      <b/>
      <sz val="10"/>
      <name val="Segoe UI"/>
    </font>
    <font>
      <sz val="10"/>
      <name val="Segoe UI"/>
    </font>
    <font>
      <sz val="11"/>
      <color theme="0"/>
      <name val="Calibri"/>
      <family val="2"/>
      <scheme val="minor"/>
    </font>
    <font>
      <b/>
      <sz val="16"/>
      <color theme="0"/>
      <name val="Segoe UI"/>
    </font>
    <font>
      <i/>
      <sz val="10"/>
      <color theme="0"/>
      <name val="Segoe UI"/>
    </font>
    <font>
      <b/>
      <sz val="9"/>
      <color theme="0"/>
      <name val="Segoe UI"/>
      <family val="2"/>
    </font>
    <font>
      <b/>
      <sz val="18"/>
      <color theme="0"/>
      <name val="Segoe UI"/>
      <family val="2"/>
    </font>
    <font>
      <b/>
      <sz val="12"/>
      <name val="Segoe UI"/>
      <family val="2"/>
    </font>
    <font>
      <b/>
      <sz val="16"/>
      <color theme="0"/>
      <name val="Segoe UI"/>
      <family val="2"/>
    </font>
    <font>
      <b/>
      <sz val="12"/>
      <color theme="0"/>
      <name val="Segoe UI"/>
      <family val="2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AFC"/>
        <bgColor rgb="FFF9FAFC"/>
      </patternFill>
    </fill>
    <fill>
      <patternFill patternType="solid">
        <fgColor rgb="FFD9E1F2"/>
        <bgColor rgb="FFD9E1F2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0F4F8"/>
      </patternFill>
    </fill>
    <fill>
      <patternFill patternType="solid">
        <fgColor theme="1"/>
        <bgColor rgb="FF1B365D"/>
      </patternFill>
    </fill>
  </fills>
  <borders count="8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1B365D"/>
      </left>
      <right/>
      <top style="thin">
        <color rgb="FFD9D9D9"/>
      </top>
      <bottom/>
      <diagonal/>
    </border>
    <border>
      <left style="medium">
        <color rgb="FF1B365D"/>
      </left>
      <right/>
      <top/>
      <bottom style="thin">
        <color rgb="FFD9D9D9"/>
      </bottom>
      <diagonal/>
    </border>
    <border>
      <left/>
      <right/>
      <top style="thin">
        <color rgb="FFD9D9D9"/>
      </top>
      <bottom style="double">
        <color rgb="FF1B365D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1" xfId="0" applyFont="1" applyFill="1" applyBorder="1"/>
    <xf numFmtId="3" fontId="3" fillId="2" borderId="1" xfId="0" applyNumberFormat="1" applyFont="1" applyFill="1" applyBorder="1"/>
    <xf numFmtId="4" fontId="3" fillId="2" borderId="1" xfId="0" applyNumberFormat="1" applyFont="1" applyFill="1" applyBorder="1"/>
    <xf numFmtId="164" fontId="3" fillId="2" borderId="1" xfId="0" applyNumberFormat="1" applyFont="1" applyFill="1" applyBorder="1"/>
    <xf numFmtId="167" fontId="3" fillId="2" borderId="1" xfId="0" applyNumberFormat="1" applyFont="1" applyFill="1" applyBorder="1"/>
    <xf numFmtId="0" fontId="3" fillId="0" borderId="1" xfId="0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67" fontId="3" fillId="0" borderId="1" xfId="0" applyNumberFormat="1" applyFont="1" applyBorder="1"/>
    <xf numFmtId="0" fontId="2" fillId="3" borderId="4" xfId="0" applyFont="1" applyFill="1" applyBorder="1"/>
    <xf numFmtId="3" fontId="2" fillId="3" borderId="4" xfId="0" applyNumberFormat="1" applyFont="1" applyFill="1" applyBorder="1"/>
    <xf numFmtId="4" fontId="2" fillId="3" borderId="4" xfId="0" applyNumberFormat="1" applyFont="1" applyFill="1" applyBorder="1"/>
    <xf numFmtId="164" fontId="2" fillId="3" borderId="4" xfId="0" applyNumberFormat="1" applyFont="1" applyFill="1" applyBorder="1"/>
    <xf numFmtId="167" fontId="2" fillId="3" borderId="4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9" fontId="3" fillId="2" borderId="1" xfId="0" applyNumberFormat="1" applyFont="1" applyFill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3" fontId="8" fillId="5" borderId="6" xfId="0" applyNumberFormat="1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center" vertical="center"/>
    </xf>
    <xf numFmtId="0" fontId="4" fillId="5" borderId="7" xfId="0" applyFont="1" applyFill="1" applyBorder="1"/>
    <xf numFmtId="0" fontId="7" fillId="5" borderId="0" xfId="0" applyFont="1" applyFill="1" applyAlignment="1">
      <alignment horizontal="center" vertical="center"/>
    </xf>
    <xf numFmtId="0" fontId="4" fillId="5" borderId="0" xfId="0" applyFont="1" applyFill="1"/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7" fontId="8" fillId="5" borderId="3" xfId="0" applyNumberFormat="1" applyFont="1" applyFill="1" applyBorder="1" applyAlignment="1">
      <alignment horizontal="center" vertical="center"/>
    </xf>
    <xf numFmtId="166" fontId="8" fillId="5" borderId="3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b/>
        <sz val="10"/>
        <color rgb="FF006100"/>
        <name val="Segoe UI"/>
      </font>
      <fill>
        <patternFill patternType="solid">
          <fgColor rgb="FFC6EFCE"/>
          <bgColor rgb="FFC6EFCE"/>
        </patternFill>
      </fill>
    </dxf>
    <dxf>
      <font>
        <b/>
        <sz val="10"/>
        <color rgb="FF9C0006"/>
        <name val="Segoe UI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Vehicle Fuel Expense vs Mileage Efficiency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'Executive Dashboard'!$G$11</c:f>
              <c:strCache>
                <c:ptCount val="1"/>
                <c:pt idx="0">
                  <c:v>Cost per KM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'Executive Dashboard'!$B$12:$B$15</c:f>
              <c:strCache>
                <c:ptCount val="4"/>
                <c:pt idx="0">
                  <c:v>3-Wheeler EV</c:v>
                </c:pt>
                <c:pt idx="1">
                  <c:v>Tata Ace (LCV)</c:v>
                </c:pt>
                <c:pt idx="2">
                  <c:v>Eicher 14ft (MCV)</c:v>
                </c:pt>
                <c:pt idx="3">
                  <c:v>BharatBenz 10-Wheeler</c:v>
                </c:pt>
              </c:strCache>
            </c:strRef>
          </c:cat>
          <c:val>
            <c:numRef>
              <c:f>'Executive Dashboard'!$G$12:$G$15</c:f>
              <c:numCache>
                <c:formatCode>\₹#,##0.00</c:formatCode>
                <c:ptCount val="4"/>
                <c:pt idx="0">
                  <c:v>1.2352234401349071</c:v>
                </c:pt>
                <c:pt idx="1">
                  <c:v>7.2866037735849059</c:v>
                </c:pt>
                <c:pt idx="2">
                  <c:v>12.166844101490977</c:v>
                </c:pt>
                <c:pt idx="3">
                  <c:v>21.507085015743659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8-44D9-8810-842F4960A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Vehicle Type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Cost per KM (₹)</a:t>
                </a:r>
              </a:p>
            </c:rich>
          </c:tx>
          <c:overlay val="0"/>
        </c:title>
        <c:numFmt formatCode="\₹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Route Target vs Actual Turnaround Time (Hours)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'Executive Dashboard'!$E$21</c:f>
              <c:strCache>
                <c:ptCount val="1"/>
                <c:pt idx="0">
                  <c:v>Target TAT (hrs)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'Executive Dashboard'!$B$22:$B$27</c:f>
              <c:strCache>
                <c:ptCount val="6"/>
                <c:pt idx="0">
                  <c:v>Mumbai - Pune</c:v>
                </c:pt>
                <c:pt idx="1">
                  <c:v>Delhi - Gurgaon</c:v>
                </c:pt>
                <c:pt idx="2">
                  <c:v>Bengaluru - Chennai</c:v>
                </c:pt>
                <c:pt idx="3">
                  <c:v>Delhi - Jaipur</c:v>
                </c:pt>
                <c:pt idx="4">
                  <c:v>Kolkata - Patna</c:v>
                </c:pt>
                <c:pt idx="5">
                  <c:v>Hyderabad - Vijayawada</c:v>
                </c:pt>
              </c:strCache>
            </c:strRef>
          </c:cat>
          <c:val>
            <c:numRef>
              <c:f>'Executive Dashboard'!$E$22:$E$27</c:f>
              <c:numCache>
                <c:formatCode>#,##0.00</c:formatCode>
                <c:ptCount val="6"/>
                <c:pt idx="0">
                  <c:v>4</c:v>
                </c:pt>
                <c:pt idx="1">
                  <c:v>2</c:v>
                </c:pt>
                <c:pt idx="2">
                  <c:v>8</c:v>
                </c:pt>
                <c:pt idx="3">
                  <c:v>7</c:v>
                </c:pt>
                <c:pt idx="4">
                  <c:v>15</c:v>
                </c:pt>
                <c:pt idx="5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6-4C05-9CCC-F84BBA7E6AA6}"/>
            </c:ext>
          </c:extLst>
        </c:ser>
        <c:ser>
          <c:idx val="1"/>
          <c:order val="1"/>
          <c:tx>
            <c:strRef>
              <c:f>'Executive Dashboard'!$F$21</c:f>
              <c:strCache>
                <c:ptCount val="1"/>
                <c:pt idx="0">
                  <c:v>Avg Actual TAT (hrs)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'Executive Dashboard'!$B$22:$B$27</c:f>
              <c:strCache>
                <c:ptCount val="6"/>
                <c:pt idx="0">
                  <c:v>Mumbai - Pune</c:v>
                </c:pt>
                <c:pt idx="1">
                  <c:v>Delhi - Gurgaon</c:v>
                </c:pt>
                <c:pt idx="2">
                  <c:v>Bengaluru - Chennai</c:v>
                </c:pt>
                <c:pt idx="3">
                  <c:v>Delhi - Jaipur</c:v>
                </c:pt>
                <c:pt idx="4">
                  <c:v>Kolkata - Patna</c:v>
                </c:pt>
                <c:pt idx="5">
                  <c:v>Hyderabad - Vijayawada</c:v>
                </c:pt>
              </c:strCache>
            </c:strRef>
          </c:cat>
          <c:val>
            <c:numRef>
              <c:f>'Executive Dashboard'!$F$22:$F$27</c:f>
              <c:numCache>
                <c:formatCode>#,##0.00</c:formatCode>
                <c:ptCount val="6"/>
                <c:pt idx="0">
                  <c:v>4.7000000001629818</c:v>
                </c:pt>
                <c:pt idx="1">
                  <c:v>1.6400000001769512</c:v>
                </c:pt>
                <c:pt idx="2">
                  <c:v>8.5399999999324798</c:v>
                </c:pt>
                <c:pt idx="3">
                  <c:v>6.7000000000116415</c:v>
                </c:pt>
                <c:pt idx="4">
                  <c:v>16.299999999976716</c:v>
                </c:pt>
                <c:pt idx="5">
                  <c:v>6.3800000001559969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6-4C05-9CCC-F84BBA7E6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Hours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Route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4896970" cy="30592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265579</xdr:colOff>
      <xdr:row>29</xdr:row>
      <xdr:rowOff>78160</xdr:rowOff>
    </xdr:from>
    <xdr:ext cx="4093509" cy="3003457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opLeftCell="A5" zoomScale="85" zoomScaleNormal="85" workbookViewId="0">
      <selection activeCell="F36" sqref="F36"/>
    </sheetView>
  </sheetViews>
  <sheetFormatPr defaultRowHeight="15" x14ac:dyDescent="0.25"/>
  <cols>
    <col min="1" max="1" width="3" customWidth="1"/>
    <col min="2" max="2" width="21.140625" customWidth="1"/>
    <col min="3" max="3" width="14.5703125" customWidth="1"/>
    <col min="4" max="4" width="12.42578125" customWidth="1"/>
    <col min="5" max="5" width="16.42578125" customWidth="1"/>
    <col min="6" max="6" width="21.28515625" customWidth="1"/>
    <col min="7" max="7" width="14.140625" customWidth="1"/>
    <col min="8" max="8" width="17" customWidth="1"/>
    <col min="9" max="9" width="16.42578125" customWidth="1"/>
    <col min="10" max="10" width="4.7109375" customWidth="1"/>
    <col min="11" max="11" width="24.42578125" customWidth="1"/>
    <col min="12" max="12" width="12" hidden="1" customWidth="1"/>
    <col min="13" max="13" width="5.85546875" customWidth="1"/>
    <col min="14" max="14" width="13.5703125" customWidth="1"/>
    <col min="15" max="15" width="12" customWidth="1"/>
  </cols>
  <sheetData>
    <row r="2" spans="2:15" ht="25.5" x14ac:dyDescent="0.5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7"/>
    </row>
    <row r="3" spans="2:15" x14ac:dyDescent="0.25"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</row>
    <row r="5" spans="2:15" x14ac:dyDescent="0.25">
      <c r="B5" s="32" t="s">
        <v>2</v>
      </c>
      <c r="C5" s="33"/>
      <c r="E5" s="32" t="s">
        <v>3</v>
      </c>
      <c r="F5" s="33"/>
      <c r="H5" s="30" t="s">
        <v>4</v>
      </c>
      <c r="I5" s="31"/>
      <c r="K5" s="30" t="s">
        <v>5</v>
      </c>
      <c r="L5" s="31"/>
      <c r="N5" s="30" t="s">
        <v>6</v>
      </c>
      <c r="O5" s="31"/>
    </row>
    <row r="6" spans="2:15" ht="26.25" x14ac:dyDescent="0.25">
      <c r="B6" s="24">
        <f>SUM('Fuel Logs'!I5:I34)</f>
        <v>180315.55199999997</v>
      </c>
      <c r="C6" s="25"/>
      <c r="E6" s="26">
        <f>SUM('Fuel Logs'!F5:F34)</f>
        <v>12634</v>
      </c>
      <c r="F6" s="27"/>
      <c r="H6" s="28">
        <f>AVERAGE('Fuel Logs'!K5:K34)</f>
        <v>8.2092421794689194</v>
      </c>
      <c r="I6" s="29"/>
      <c r="K6" s="35">
        <f>AVERAGE('Delivery Logs'!I5:I34)</f>
        <v>7.3766666667361278</v>
      </c>
      <c r="L6" s="29"/>
      <c r="N6" s="34">
        <f>COUNTIF('Delivery Logs'!K5:K34, "On-Time")/COUNTA('Delivery Logs'!K5:K34)</f>
        <v>0.56666666666666665</v>
      </c>
      <c r="O6" s="29"/>
    </row>
    <row r="9" spans="2:15" ht="17.25" x14ac:dyDescent="0.3">
      <c r="B9" s="40" t="s">
        <v>7</v>
      </c>
      <c r="C9" s="40"/>
      <c r="D9" s="40"/>
      <c r="E9" s="40"/>
      <c r="F9" s="40"/>
      <c r="G9" s="40"/>
      <c r="H9" s="40"/>
      <c r="I9" s="40"/>
    </row>
    <row r="10" spans="2:15" ht="17.25" x14ac:dyDescent="0.3">
      <c r="B10" s="22"/>
      <c r="C10" s="22"/>
      <c r="D10" s="22"/>
      <c r="E10" s="22"/>
      <c r="F10" s="22"/>
      <c r="G10" s="22"/>
      <c r="H10" s="22"/>
      <c r="I10" s="22"/>
    </row>
    <row r="11" spans="2:15" ht="33" x14ac:dyDescent="0.25">
      <c r="B11" s="23" t="s">
        <v>8</v>
      </c>
      <c r="C11" s="23" t="s">
        <v>9</v>
      </c>
      <c r="D11" s="23" t="s">
        <v>10</v>
      </c>
      <c r="E11" s="23" t="s">
        <v>11</v>
      </c>
      <c r="F11" s="23" t="s">
        <v>12</v>
      </c>
      <c r="G11" s="23" t="s">
        <v>13</v>
      </c>
      <c r="H11" s="23" t="s">
        <v>14</v>
      </c>
      <c r="I11" s="23" t="s">
        <v>15</v>
      </c>
    </row>
    <row r="12" spans="2:15" x14ac:dyDescent="0.25">
      <c r="B12" s="1" t="s">
        <v>16</v>
      </c>
      <c r="C12" s="2">
        <f>SUMIF('Fuel Logs'!$C$5:$C$34, B12, 'Fuel Logs'!$F$5:$F$34)</f>
        <v>1186</v>
      </c>
      <c r="D12" s="3">
        <f>SUMIF('Fuel Logs'!$C$5:$C$34, B12, 'Fuel Logs'!$G$5:$G$34)</f>
        <v>172.35</v>
      </c>
      <c r="E12" s="4">
        <f>SUMIF('Fuel Logs'!$C$5:$C$34, B12, 'Fuel Logs'!$I$5:$I$34)</f>
        <v>1464.9749999999999</v>
      </c>
      <c r="F12" s="3">
        <f>IF(D12&gt;0, C12/D12, 0)</f>
        <v>6.8813460980562811</v>
      </c>
      <c r="G12" s="4">
        <f>IF(C12&gt;0, E12/C12, 0)</f>
        <v>1.2352234401349071</v>
      </c>
      <c r="H12" s="2">
        <f>COUNTIF('Delivery Logs'!$D$5:$D$34, B12)</f>
        <v>10</v>
      </c>
      <c r="I12" s="5">
        <f>COUNTIFS('Delivery Logs'!$D$5:$D$34, B12, 'Delivery Logs'!$K$5:$K$34, "On-Time")/MAX(1, H12)</f>
        <v>0.6</v>
      </c>
    </row>
    <row r="13" spans="2:15" x14ac:dyDescent="0.25">
      <c r="B13" s="6" t="s">
        <v>17</v>
      </c>
      <c r="C13" s="7">
        <f>SUMIF('Fuel Logs'!$C$5:$C$34, B13, 'Fuel Logs'!$F$5:$F$34)</f>
        <v>2226</v>
      </c>
      <c r="D13" s="8">
        <f>SUMIF('Fuel Logs'!$C$5:$C$34, B13, 'Fuel Logs'!$G$5:$G$34)</f>
        <v>171.63999999999996</v>
      </c>
      <c r="E13" s="9">
        <f>SUMIF('Fuel Logs'!$C$5:$C$34, B13, 'Fuel Logs'!$I$5:$I$34)</f>
        <v>16219.980000000001</v>
      </c>
      <c r="F13" s="8">
        <f>IF(D13&gt;0, C13/D13, 0)</f>
        <v>12.969004893964113</v>
      </c>
      <c r="G13" s="9">
        <f>IF(C13&gt;0, E13/C13, 0)</f>
        <v>7.2866037735849059</v>
      </c>
      <c r="H13" s="7">
        <f>COUNTIF('Delivery Logs'!$D$5:$D$34, B13)</f>
        <v>10</v>
      </c>
      <c r="I13" s="10">
        <f>COUNTIFS('Delivery Logs'!$D$5:$D$34, B13, 'Delivery Logs'!$K$5:$K$34, "On-Time")/MAX(1, H13)</f>
        <v>0.7</v>
      </c>
    </row>
    <row r="14" spans="2:15" x14ac:dyDescent="0.25">
      <c r="B14" s="1" t="s">
        <v>18</v>
      </c>
      <c r="C14" s="2">
        <f>SUMIF('Fuel Logs'!$C$5:$C$34, B14, 'Fuel Logs'!$F$5:$F$34)</f>
        <v>3823</v>
      </c>
      <c r="D14" s="3">
        <f>SUMIF('Fuel Logs'!$C$5:$C$34, B14, 'Fuel Logs'!$G$5:$G$34)</f>
        <v>492.21</v>
      </c>
      <c r="E14" s="4">
        <f>SUMIF('Fuel Logs'!$C$5:$C$34, B14, 'Fuel Logs'!$I$5:$I$34)</f>
        <v>46513.845000000001</v>
      </c>
      <c r="F14" s="3">
        <f>IF(D14&gt;0, C14/D14, 0)</f>
        <v>7.7670100160500599</v>
      </c>
      <c r="G14" s="4">
        <f>IF(C14&gt;0, E14/C14, 0)</f>
        <v>12.166844101490977</v>
      </c>
      <c r="H14" s="2">
        <f>COUNTIF('Delivery Logs'!$D$5:$D$34, B14)</f>
        <v>5</v>
      </c>
      <c r="I14" s="5">
        <f>COUNTIFS('Delivery Logs'!$D$5:$D$34, B14, 'Delivery Logs'!$K$5:$K$34, "On-Time")/MAX(1, H14)</f>
        <v>0.2</v>
      </c>
    </row>
    <row r="15" spans="2:15" x14ac:dyDescent="0.25">
      <c r="B15" s="6" t="s">
        <v>19</v>
      </c>
      <c r="C15" s="7">
        <f>SUMIF('Fuel Logs'!$C$5:$C$34, B15, 'Fuel Logs'!$F$5:$F$34)</f>
        <v>5399</v>
      </c>
      <c r="D15" s="8">
        <f>SUMIF('Fuel Logs'!$C$5:$C$34, B15, 'Fuel Logs'!$G$5:$G$34)</f>
        <v>1273.21</v>
      </c>
      <c r="E15" s="9">
        <f>SUMIF('Fuel Logs'!$C$5:$C$34, B15, 'Fuel Logs'!$I$5:$I$34)</f>
        <v>116116.75200000001</v>
      </c>
      <c r="F15" s="8">
        <f>IF(D15&gt;0, C15/D15, 0)</f>
        <v>4.2404630815026589</v>
      </c>
      <c r="G15" s="9">
        <f>IF(C15&gt;0, E15/C15, 0)</f>
        <v>21.507085015743659</v>
      </c>
      <c r="H15" s="7">
        <f>COUNTIF('Delivery Logs'!$D$5:$D$34, B15)</f>
        <v>5</v>
      </c>
      <c r="I15" s="10">
        <f>COUNTIFS('Delivery Logs'!$D$5:$D$34, B15, 'Delivery Logs'!$K$5:$K$34, "On-Time")/MAX(1, H15)</f>
        <v>0.6</v>
      </c>
    </row>
    <row r="16" spans="2:15" ht="15.75" thickBot="1" x14ac:dyDescent="0.3">
      <c r="B16" s="11" t="s">
        <v>20</v>
      </c>
      <c r="C16" s="12">
        <f>SUM(C12:C15)</f>
        <v>12634</v>
      </c>
      <c r="D16" s="13">
        <f>SUM(D12:D15)</f>
        <v>2109.41</v>
      </c>
      <c r="E16" s="14">
        <f>SUM(E12:E15)</f>
        <v>180315.55200000003</v>
      </c>
      <c r="F16" s="13">
        <f>C16/D16</f>
        <v>5.9893524729663747</v>
      </c>
      <c r="G16" s="14">
        <f>E16/C16</f>
        <v>14.272245686243473</v>
      </c>
      <c r="H16" s="12">
        <f>SUM(H12:H15)</f>
        <v>30</v>
      </c>
      <c r="I16" s="15">
        <f>COUNTIF('Delivery Logs'!$K$5:$K$34, "On-Time")/H16</f>
        <v>0.56666666666666665</v>
      </c>
    </row>
    <row r="17" spans="2:9" ht="15.75" thickTop="1" x14ac:dyDescent="0.25"/>
    <row r="19" spans="2:9" ht="17.25" x14ac:dyDescent="0.3">
      <c r="B19" s="40" t="s">
        <v>21</v>
      </c>
      <c r="C19" s="40"/>
      <c r="D19" s="40"/>
      <c r="E19" s="40"/>
      <c r="F19" s="40"/>
      <c r="G19" s="40"/>
      <c r="H19" s="40"/>
      <c r="I19" s="40"/>
    </row>
    <row r="20" spans="2:9" ht="17.25" x14ac:dyDescent="0.3">
      <c r="B20" s="22"/>
      <c r="C20" s="22"/>
      <c r="D20" s="22"/>
      <c r="E20" s="22"/>
      <c r="F20" s="22"/>
      <c r="G20" s="22"/>
      <c r="H20" s="22"/>
      <c r="I20" s="22"/>
    </row>
    <row r="21" spans="2:9" ht="33" x14ac:dyDescent="0.25">
      <c r="B21" s="23" t="s">
        <v>22</v>
      </c>
      <c r="C21" s="23" t="s">
        <v>23</v>
      </c>
      <c r="D21" s="23" t="s">
        <v>24</v>
      </c>
      <c r="E21" s="23" t="s">
        <v>25</v>
      </c>
      <c r="F21" s="23" t="s">
        <v>26</v>
      </c>
      <c r="G21" s="23" t="s">
        <v>27</v>
      </c>
      <c r="H21" s="23" t="s">
        <v>15</v>
      </c>
      <c r="I21" s="23" t="s">
        <v>28</v>
      </c>
    </row>
    <row r="22" spans="2:9" x14ac:dyDescent="0.25">
      <c r="B22" s="6" t="s">
        <v>29</v>
      </c>
      <c r="C22" s="7">
        <f>COUNTIF('Delivery Logs'!$E$5:$E$34, B22)</f>
        <v>5</v>
      </c>
      <c r="D22" s="7">
        <f>AVERAGEIF('Delivery Logs'!$E$5:$E$34, B22, 'Delivery Logs'!$F$5:$F$34)</f>
        <v>150</v>
      </c>
      <c r="E22" s="8">
        <f>AVERAGEIF('Delivery Logs'!$E$5:$E$34, B22, 'Delivery Logs'!$H$5:$H$34)</f>
        <v>4</v>
      </c>
      <c r="F22" s="8">
        <f>AVERAGEIF('Delivery Logs'!$E$5:$E$34, B22, 'Delivery Logs'!$I$5:$I$34)</f>
        <v>4.7000000001629818</v>
      </c>
      <c r="G22" s="8">
        <f t="shared" ref="G22:G27" si="0">F22-E22</f>
        <v>0.70000000016298181</v>
      </c>
      <c r="H22" s="10">
        <f>COUNTIFS('Delivery Logs'!$E$5:$E$34, B22, 'Delivery Logs'!$K$5:$K$34, "On-Time")/MAX(1, C22)</f>
        <v>0.4</v>
      </c>
      <c r="I22" s="16" t="str">
        <f t="shared" ref="I22:I27" si="1">IF(H22&gt;=0.85, "SLA Compliant", "Needs Review")</f>
        <v>Needs Review</v>
      </c>
    </row>
    <row r="23" spans="2:9" x14ac:dyDescent="0.25">
      <c r="B23" s="1" t="s">
        <v>30</v>
      </c>
      <c r="C23" s="2">
        <f>COUNTIF('Delivery Logs'!$E$5:$E$34, B23)</f>
        <v>5</v>
      </c>
      <c r="D23" s="2">
        <f>AVERAGEIF('Delivery Logs'!$E$5:$E$34, B23, 'Delivery Logs'!$F$5:$F$34)</f>
        <v>45</v>
      </c>
      <c r="E23" s="3">
        <f>AVERAGEIF('Delivery Logs'!$E$5:$E$34, B23, 'Delivery Logs'!$H$5:$H$34)</f>
        <v>2</v>
      </c>
      <c r="F23" s="3">
        <f>AVERAGEIF('Delivery Logs'!$E$5:$E$34, B23, 'Delivery Logs'!$I$5:$I$34)</f>
        <v>1.6400000001769512</v>
      </c>
      <c r="G23" s="3">
        <f t="shared" si="0"/>
        <v>-0.35999999982304876</v>
      </c>
      <c r="H23" s="5">
        <f>COUNTIFS('Delivery Logs'!$E$5:$E$34, B23, 'Delivery Logs'!$K$5:$K$34, "On-Time")/MAX(1, C23)</f>
        <v>0.8</v>
      </c>
      <c r="I23" s="17" t="str">
        <f t="shared" si="1"/>
        <v>Needs Review</v>
      </c>
    </row>
    <row r="24" spans="2:9" x14ac:dyDescent="0.25">
      <c r="B24" s="6" t="s">
        <v>31</v>
      </c>
      <c r="C24" s="7">
        <f>COUNTIF('Delivery Logs'!$E$5:$E$34, B24)</f>
        <v>5</v>
      </c>
      <c r="D24" s="7">
        <f>AVERAGEIF('Delivery Logs'!$E$5:$E$34, B24, 'Delivery Logs'!$F$5:$F$34)</f>
        <v>350</v>
      </c>
      <c r="E24" s="8">
        <f>AVERAGEIF('Delivery Logs'!$E$5:$E$34, B24, 'Delivery Logs'!$H$5:$H$34)</f>
        <v>8</v>
      </c>
      <c r="F24" s="8">
        <f>AVERAGEIF('Delivery Logs'!$E$5:$E$34, B24, 'Delivery Logs'!$I$5:$I$34)</f>
        <v>8.5399999999324798</v>
      </c>
      <c r="G24" s="8">
        <f t="shared" si="0"/>
        <v>0.53999999993247982</v>
      </c>
      <c r="H24" s="10">
        <f>COUNTIFS('Delivery Logs'!$E$5:$E$34, B24, 'Delivery Logs'!$K$5:$K$34, "On-Time")/MAX(1, C24)</f>
        <v>0.6</v>
      </c>
      <c r="I24" s="16" t="str">
        <f t="shared" si="1"/>
        <v>Needs Review</v>
      </c>
    </row>
    <row r="25" spans="2:9" x14ac:dyDescent="0.25">
      <c r="B25" s="1" t="s">
        <v>32</v>
      </c>
      <c r="C25" s="2">
        <f>COUNTIF('Delivery Logs'!$E$5:$E$34, B25)</f>
        <v>5</v>
      </c>
      <c r="D25" s="2">
        <f>AVERAGEIF('Delivery Logs'!$E$5:$E$34, B25, 'Delivery Logs'!$F$5:$F$34)</f>
        <v>280</v>
      </c>
      <c r="E25" s="3">
        <f>AVERAGEIF('Delivery Logs'!$E$5:$E$34, B25, 'Delivery Logs'!$H$5:$H$34)</f>
        <v>7</v>
      </c>
      <c r="F25" s="3">
        <f>AVERAGEIF('Delivery Logs'!$E$5:$E$34, B25, 'Delivery Logs'!$I$5:$I$34)</f>
        <v>6.7000000000116415</v>
      </c>
      <c r="G25" s="3">
        <f t="shared" si="0"/>
        <v>-0.29999999998835847</v>
      </c>
      <c r="H25" s="5">
        <f>COUNTIFS('Delivery Logs'!$E$5:$E$34, B25, 'Delivery Logs'!$K$5:$K$34, "On-Time")/MAX(1, C25)</f>
        <v>0.8</v>
      </c>
      <c r="I25" s="17" t="str">
        <f t="shared" si="1"/>
        <v>Needs Review</v>
      </c>
    </row>
    <row r="26" spans="2:9" x14ac:dyDescent="0.25">
      <c r="B26" s="6" t="s">
        <v>33</v>
      </c>
      <c r="C26" s="7">
        <f>COUNTIF('Delivery Logs'!$E$5:$E$34, B26)</f>
        <v>5</v>
      </c>
      <c r="D26" s="7">
        <f>AVERAGEIF('Delivery Logs'!$E$5:$E$34, B26, 'Delivery Logs'!$F$5:$F$34)</f>
        <v>580</v>
      </c>
      <c r="E26" s="8">
        <f>AVERAGEIF('Delivery Logs'!$E$5:$E$34, B26, 'Delivery Logs'!$H$5:$H$34)</f>
        <v>15</v>
      </c>
      <c r="F26" s="8">
        <f>AVERAGEIF('Delivery Logs'!$E$5:$E$34, B26, 'Delivery Logs'!$I$5:$I$34)</f>
        <v>16.299999999976716</v>
      </c>
      <c r="G26" s="8">
        <f t="shared" si="0"/>
        <v>1.2999999999767162</v>
      </c>
      <c r="H26" s="10">
        <f>COUNTIFS('Delivery Logs'!$E$5:$E$34, B26, 'Delivery Logs'!$K$5:$K$34, "On-Time")/MAX(1, C26)</f>
        <v>0.2</v>
      </c>
      <c r="I26" s="16" t="str">
        <f t="shared" si="1"/>
        <v>Needs Review</v>
      </c>
    </row>
    <row r="27" spans="2:9" x14ac:dyDescent="0.25">
      <c r="B27" s="1" t="s">
        <v>34</v>
      </c>
      <c r="C27" s="2">
        <f>COUNTIF('Delivery Logs'!$E$5:$E$34, B27)</f>
        <v>5</v>
      </c>
      <c r="D27" s="2">
        <f>AVERAGEIF('Delivery Logs'!$E$5:$E$34, B27, 'Delivery Logs'!$F$5:$F$34)</f>
        <v>270</v>
      </c>
      <c r="E27" s="3">
        <f>AVERAGEIF('Delivery Logs'!$E$5:$E$34, B27, 'Delivery Logs'!$H$5:$H$34)</f>
        <v>6.5</v>
      </c>
      <c r="F27" s="3">
        <f>AVERAGEIF('Delivery Logs'!$E$5:$E$34, B27, 'Delivery Logs'!$I$5:$I$34)</f>
        <v>6.3800000001559969</v>
      </c>
      <c r="G27" s="3">
        <f t="shared" si="0"/>
        <v>-0.11999999984400311</v>
      </c>
      <c r="H27" s="5">
        <f>COUNTIFS('Delivery Logs'!$E$5:$E$34, B27, 'Delivery Logs'!$K$5:$K$34, "On-Time")/MAX(1, C27)</f>
        <v>0.6</v>
      </c>
      <c r="I27" s="17" t="str">
        <f t="shared" si="1"/>
        <v>Needs Review</v>
      </c>
    </row>
  </sheetData>
  <mergeCells count="14">
    <mergeCell ref="B2:N2"/>
    <mergeCell ref="B3:N3"/>
    <mergeCell ref="N5:O5"/>
    <mergeCell ref="B5:C5"/>
    <mergeCell ref="N6:O6"/>
    <mergeCell ref="E5:F5"/>
    <mergeCell ref="K5:L5"/>
    <mergeCell ref="H5:I5"/>
    <mergeCell ref="K6:L6"/>
    <mergeCell ref="B9:I9"/>
    <mergeCell ref="B19:I19"/>
    <mergeCell ref="B6:C6"/>
    <mergeCell ref="E6:F6"/>
    <mergeCell ref="H6:I6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5"/>
  <sheetViews>
    <sheetView workbookViewId="0">
      <selection activeCell="A2" sqref="A2:M2"/>
    </sheetView>
  </sheetViews>
  <sheetFormatPr defaultRowHeight="15" x14ac:dyDescent="0.25"/>
  <cols>
    <col min="1" max="1" width="19" customWidth="1"/>
    <col min="2" max="2" width="40" customWidth="1"/>
    <col min="3" max="3" width="25" customWidth="1"/>
    <col min="4" max="4" width="18" customWidth="1"/>
    <col min="5" max="5" width="13" customWidth="1"/>
    <col min="6" max="6" width="26" customWidth="1"/>
    <col min="7" max="7" width="21" customWidth="1"/>
    <col min="8" max="8" width="20" customWidth="1"/>
    <col min="9" max="9" width="23" customWidth="1"/>
    <col min="10" max="10" width="19" customWidth="1"/>
    <col min="11" max="11" width="21" customWidth="1"/>
    <col min="12" max="12" width="18" customWidth="1"/>
    <col min="13" max="13" width="15" customWidth="1"/>
  </cols>
  <sheetData>
    <row r="2" spans="1:13" ht="25.5" x14ac:dyDescent="0.5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3" ht="16.5" x14ac:dyDescent="0.25">
      <c r="A4" s="23" t="s">
        <v>36</v>
      </c>
      <c r="B4" s="23" t="s">
        <v>37</v>
      </c>
      <c r="C4" s="23" t="s">
        <v>8</v>
      </c>
      <c r="D4" s="23" t="s">
        <v>38</v>
      </c>
      <c r="E4" s="23" t="s">
        <v>39</v>
      </c>
      <c r="F4" s="23" t="s">
        <v>40</v>
      </c>
      <c r="G4" s="23" t="s">
        <v>41</v>
      </c>
      <c r="H4" s="23" t="s">
        <v>42</v>
      </c>
      <c r="I4" s="23" t="s">
        <v>43</v>
      </c>
      <c r="J4" s="23" t="s">
        <v>13</v>
      </c>
      <c r="K4" s="23" t="s">
        <v>44</v>
      </c>
      <c r="L4" s="23" t="s">
        <v>45</v>
      </c>
      <c r="M4" s="23" t="s">
        <v>46</v>
      </c>
    </row>
    <row r="5" spans="1:13" x14ac:dyDescent="0.25">
      <c r="A5" s="17" t="s">
        <v>47</v>
      </c>
      <c r="B5" s="18">
        <v>46236</v>
      </c>
      <c r="C5" s="1" t="s">
        <v>17</v>
      </c>
      <c r="D5" s="17" t="s">
        <v>48</v>
      </c>
      <c r="E5" s="17" t="s">
        <v>49</v>
      </c>
      <c r="F5" s="2">
        <v>343</v>
      </c>
      <c r="G5" s="3">
        <v>27.56</v>
      </c>
      <c r="H5" s="4">
        <v>94.5</v>
      </c>
      <c r="I5" s="4">
        <f t="shared" ref="I5:I34" si="0">G5*H5</f>
        <v>2604.42</v>
      </c>
      <c r="J5" s="4">
        <f t="shared" ref="J5:J35" si="1">I5/F5</f>
        <v>7.5930612244897961</v>
      </c>
      <c r="K5" s="3">
        <f t="shared" ref="K5:K35" si="2">F5/G5</f>
        <v>12.445573294629899</v>
      </c>
      <c r="L5" s="1" t="s">
        <v>50</v>
      </c>
      <c r="M5" s="1" t="s">
        <v>51</v>
      </c>
    </row>
    <row r="6" spans="1:13" x14ac:dyDescent="0.25">
      <c r="A6" s="16" t="s">
        <v>52</v>
      </c>
      <c r="B6" s="19">
        <v>46237</v>
      </c>
      <c r="C6" s="6" t="s">
        <v>18</v>
      </c>
      <c r="D6" s="16" t="s">
        <v>53</v>
      </c>
      <c r="E6" s="16" t="s">
        <v>49</v>
      </c>
      <c r="F6" s="7">
        <v>440</v>
      </c>
      <c r="G6" s="8">
        <v>57.8</v>
      </c>
      <c r="H6" s="9">
        <v>94.5</v>
      </c>
      <c r="I6" s="9">
        <f t="shared" si="0"/>
        <v>5462.0999999999995</v>
      </c>
      <c r="J6" s="9">
        <f t="shared" si="1"/>
        <v>12.413863636363635</v>
      </c>
      <c r="K6" s="8">
        <f t="shared" si="2"/>
        <v>7.6124567474048446</v>
      </c>
      <c r="L6" s="6" t="s">
        <v>54</v>
      </c>
      <c r="M6" s="6" t="s">
        <v>55</v>
      </c>
    </row>
    <row r="7" spans="1:13" x14ac:dyDescent="0.25">
      <c r="A7" s="17" t="s">
        <v>56</v>
      </c>
      <c r="B7" s="18">
        <v>46238</v>
      </c>
      <c r="C7" s="1" t="s">
        <v>19</v>
      </c>
      <c r="D7" s="17" t="s">
        <v>57</v>
      </c>
      <c r="E7" s="17" t="s">
        <v>49</v>
      </c>
      <c r="F7" s="2">
        <v>642</v>
      </c>
      <c r="G7" s="3">
        <v>139.41999999999999</v>
      </c>
      <c r="H7" s="4">
        <v>91.2</v>
      </c>
      <c r="I7" s="4">
        <f t="shared" si="0"/>
        <v>12715.103999999999</v>
      </c>
      <c r="J7" s="4">
        <f t="shared" si="1"/>
        <v>19.805457943925234</v>
      </c>
      <c r="K7" s="3">
        <f t="shared" si="2"/>
        <v>4.6047912781523461</v>
      </c>
      <c r="L7" s="1" t="s">
        <v>58</v>
      </c>
      <c r="M7" s="1" t="s">
        <v>59</v>
      </c>
    </row>
    <row r="8" spans="1:13" x14ac:dyDescent="0.25">
      <c r="A8" s="16" t="s">
        <v>60</v>
      </c>
      <c r="B8" s="19">
        <v>46239</v>
      </c>
      <c r="C8" s="6" t="s">
        <v>16</v>
      </c>
      <c r="D8" s="16" t="s">
        <v>61</v>
      </c>
      <c r="E8" s="16" t="s">
        <v>62</v>
      </c>
      <c r="F8" s="7">
        <v>206</v>
      </c>
      <c r="G8" s="8">
        <v>29.51</v>
      </c>
      <c r="H8" s="9">
        <v>8.5</v>
      </c>
      <c r="I8" s="9">
        <f t="shared" si="0"/>
        <v>250.83500000000001</v>
      </c>
      <c r="J8" s="9">
        <f t="shared" si="1"/>
        <v>1.2176456310679613</v>
      </c>
      <c r="K8" s="8">
        <f t="shared" si="2"/>
        <v>6.9806845137241611</v>
      </c>
      <c r="L8" s="6" t="s">
        <v>63</v>
      </c>
      <c r="M8" s="6" t="s">
        <v>64</v>
      </c>
    </row>
    <row r="9" spans="1:13" x14ac:dyDescent="0.25">
      <c r="A9" s="17" t="s">
        <v>65</v>
      </c>
      <c r="B9" s="18">
        <v>46240</v>
      </c>
      <c r="C9" s="1" t="s">
        <v>17</v>
      </c>
      <c r="D9" s="17" t="s">
        <v>66</v>
      </c>
      <c r="E9" s="17" t="s">
        <v>49</v>
      </c>
      <c r="F9" s="2">
        <v>319</v>
      </c>
      <c r="G9" s="3">
        <v>25.83</v>
      </c>
      <c r="H9" s="4">
        <v>94.5</v>
      </c>
      <c r="I9" s="4">
        <f t="shared" si="0"/>
        <v>2440.9349999999999</v>
      </c>
      <c r="J9" s="4">
        <f t="shared" si="1"/>
        <v>7.6518338557993726</v>
      </c>
      <c r="K9" s="3">
        <f t="shared" si="2"/>
        <v>12.349980642663571</v>
      </c>
      <c r="L9" s="1" t="s">
        <v>67</v>
      </c>
      <c r="M9" s="1" t="s">
        <v>68</v>
      </c>
    </row>
    <row r="10" spans="1:13" x14ac:dyDescent="0.25">
      <c r="A10" s="16" t="s">
        <v>69</v>
      </c>
      <c r="B10" s="19">
        <v>46241</v>
      </c>
      <c r="C10" s="6" t="s">
        <v>18</v>
      </c>
      <c r="D10" s="16" t="s">
        <v>70</v>
      </c>
      <c r="E10" s="16" t="s">
        <v>49</v>
      </c>
      <c r="F10" s="7">
        <v>516</v>
      </c>
      <c r="G10" s="8">
        <v>72.89</v>
      </c>
      <c r="H10" s="9">
        <v>94.5</v>
      </c>
      <c r="I10" s="9">
        <f t="shared" si="0"/>
        <v>6888.1050000000005</v>
      </c>
      <c r="J10" s="9">
        <f t="shared" si="1"/>
        <v>13.34904069767442</v>
      </c>
      <c r="K10" s="8">
        <f t="shared" si="2"/>
        <v>7.0791603786527642</v>
      </c>
      <c r="L10" s="6" t="s">
        <v>71</v>
      </c>
      <c r="M10" s="6" t="s">
        <v>72</v>
      </c>
    </row>
    <row r="11" spans="1:13" x14ac:dyDescent="0.25">
      <c r="A11" s="17" t="s">
        <v>73</v>
      </c>
      <c r="B11" s="18">
        <v>46242</v>
      </c>
      <c r="C11" s="1" t="s">
        <v>19</v>
      </c>
      <c r="D11" s="17" t="s">
        <v>74</v>
      </c>
      <c r="E11" s="17" t="s">
        <v>49</v>
      </c>
      <c r="F11" s="2">
        <v>595</v>
      </c>
      <c r="G11" s="3">
        <v>155.44</v>
      </c>
      <c r="H11" s="4">
        <v>91.2</v>
      </c>
      <c r="I11" s="4">
        <f t="shared" si="0"/>
        <v>14176.128000000001</v>
      </c>
      <c r="J11" s="4">
        <f t="shared" si="1"/>
        <v>23.825425210084035</v>
      </c>
      <c r="K11" s="3">
        <f t="shared" si="2"/>
        <v>3.8278435409161093</v>
      </c>
      <c r="L11" s="1" t="s">
        <v>75</v>
      </c>
      <c r="M11" s="1" t="s">
        <v>51</v>
      </c>
    </row>
    <row r="12" spans="1:13" x14ac:dyDescent="0.25">
      <c r="A12" s="16" t="s">
        <v>76</v>
      </c>
      <c r="B12" s="19">
        <v>46243</v>
      </c>
      <c r="C12" s="6" t="s">
        <v>16</v>
      </c>
      <c r="D12" s="16" t="s">
        <v>77</v>
      </c>
      <c r="E12" s="16" t="s">
        <v>62</v>
      </c>
      <c r="F12" s="7">
        <v>184</v>
      </c>
      <c r="G12" s="8">
        <v>27.45</v>
      </c>
      <c r="H12" s="9">
        <v>8.5</v>
      </c>
      <c r="I12" s="9">
        <f t="shared" si="0"/>
        <v>233.32499999999999</v>
      </c>
      <c r="J12" s="9">
        <f t="shared" si="1"/>
        <v>1.2680706521739129</v>
      </c>
      <c r="K12" s="8">
        <f t="shared" si="2"/>
        <v>6.7030965391621127</v>
      </c>
      <c r="L12" s="6" t="s">
        <v>78</v>
      </c>
      <c r="M12" s="6" t="s">
        <v>55</v>
      </c>
    </row>
    <row r="13" spans="1:13" x14ac:dyDescent="0.25">
      <c r="A13" s="17" t="s">
        <v>79</v>
      </c>
      <c r="B13" s="18">
        <v>46244</v>
      </c>
      <c r="C13" s="1" t="s">
        <v>17</v>
      </c>
      <c r="D13" s="17" t="s">
        <v>80</v>
      </c>
      <c r="E13" s="17" t="s">
        <v>49</v>
      </c>
      <c r="F13" s="2">
        <v>323</v>
      </c>
      <c r="G13" s="3">
        <v>25.24</v>
      </c>
      <c r="H13" s="4">
        <v>94.5</v>
      </c>
      <c r="I13" s="4">
        <f t="shared" si="0"/>
        <v>2385.1799999999998</v>
      </c>
      <c r="J13" s="4">
        <f t="shared" si="1"/>
        <v>7.384458204334365</v>
      </c>
      <c r="K13" s="3">
        <f t="shared" si="2"/>
        <v>12.797147385103012</v>
      </c>
      <c r="L13" s="1" t="s">
        <v>50</v>
      </c>
      <c r="M13" s="1" t="s">
        <v>59</v>
      </c>
    </row>
    <row r="14" spans="1:13" x14ac:dyDescent="0.25">
      <c r="A14" s="16" t="s">
        <v>81</v>
      </c>
      <c r="B14" s="19">
        <v>46245</v>
      </c>
      <c r="C14" s="6" t="s">
        <v>18</v>
      </c>
      <c r="D14" s="16" t="s">
        <v>82</v>
      </c>
      <c r="E14" s="16" t="s">
        <v>49</v>
      </c>
      <c r="F14" s="7">
        <v>632</v>
      </c>
      <c r="G14" s="8">
        <v>72.2</v>
      </c>
      <c r="H14" s="9">
        <v>94.5</v>
      </c>
      <c r="I14" s="9">
        <f t="shared" si="0"/>
        <v>6822.9000000000005</v>
      </c>
      <c r="J14" s="9">
        <f t="shared" si="1"/>
        <v>10.795727848101267</v>
      </c>
      <c r="K14" s="8">
        <f t="shared" si="2"/>
        <v>8.7534626038781163</v>
      </c>
      <c r="L14" s="6" t="s">
        <v>54</v>
      </c>
      <c r="M14" s="6" t="s">
        <v>64</v>
      </c>
    </row>
    <row r="15" spans="1:13" x14ac:dyDescent="0.25">
      <c r="A15" s="17" t="s">
        <v>83</v>
      </c>
      <c r="B15" s="18">
        <v>46246</v>
      </c>
      <c r="C15" s="1" t="s">
        <v>19</v>
      </c>
      <c r="D15" s="17" t="s">
        <v>84</v>
      </c>
      <c r="E15" s="17" t="s">
        <v>49</v>
      </c>
      <c r="F15" s="2">
        <v>929</v>
      </c>
      <c r="G15" s="3">
        <v>242.52</v>
      </c>
      <c r="H15" s="4">
        <v>91.2</v>
      </c>
      <c r="I15" s="4">
        <f t="shared" si="0"/>
        <v>22117.824000000001</v>
      </c>
      <c r="J15" s="4">
        <f t="shared" si="1"/>
        <v>23.808206673842843</v>
      </c>
      <c r="K15" s="3">
        <f t="shared" si="2"/>
        <v>3.8306119082962229</v>
      </c>
      <c r="L15" s="1" t="s">
        <v>58</v>
      </c>
      <c r="M15" s="1" t="s">
        <v>68</v>
      </c>
    </row>
    <row r="16" spans="1:13" x14ac:dyDescent="0.25">
      <c r="A16" s="16" t="s">
        <v>85</v>
      </c>
      <c r="B16" s="19">
        <v>46247</v>
      </c>
      <c r="C16" s="6" t="s">
        <v>16</v>
      </c>
      <c r="D16" s="16" t="s">
        <v>86</v>
      </c>
      <c r="E16" s="16" t="s">
        <v>62</v>
      </c>
      <c r="F16" s="7">
        <v>195</v>
      </c>
      <c r="G16" s="8">
        <v>32.200000000000003</v>
      </c>
      <c r="H16" s="9">
        <v>8.5</v>
      </c>
      <c r="I16" s="9">
        <f t="shared" si="0"/>
        <v>273.70000000000005</v>
      </c>
      <c r="J16" s="9">
        <f t="shared" si="1"/>
        <v>1.4035897435897438</v>
      </c>
      <c r="K16" s="8">
        <f t="shared" si="2"/>
        <v>6.0559006211180115</v>
      </c>
      <c r="L16" s="6" t="s">
        <v>63</v>
      </c>
      <c r="M16" s="6" t="s">
        <v>72</v>
      </c>
    </row>
    <row r="17" spans="1:13" x14ac:dyDescent="0.25">
      <c r="A17" s="17" t="s">
        <v>87</v>
      </c>
      <c r="B17" s="18">
        <v>46248</v>
      </c>
      <c r="C17" s="1" t="s">
        <v>17</v>
      </c>
      <c r="D17" s="17" t="s">
        <v>48</v>
      </c>
      <c r="E17" s="17" t="s">
        <v>49</v>
      </c>
      <c r="F17" s="2">
        <v>181</v>
      </c>
      <c r="G17" s="3">
        <v>12.04</v>
      </c>
      <c r="H17" s="4">
        <v>94.5</v>
      </c>
      <c r="I17" s="4">
        <f t="shared" si="0"/>
        <v>1137.78</v>
      </c>
      <c r="J17" s="4">
        <f t="shared" si="1"/>
        <v>6.2860773480662981</v>
      </c>
      <c r="K17" s="3">
        <f t="shared" si="2"/>
        <v>15.033222591362128</v>
      </c>
      <c r="L17" s="1" t="s">
        <v>67</v>
      </c>
      <c r="M17" s="1" t="s">
        <v>51</v>
      </c>
    </row>
    <row r="18" spans="1:13" x14ac:dyDescent="0.25">
      <c r="A18" s="16" t="s">
        <v>88</v>
      </c>
      <c r="B18" s="19">
        <v>46249</v>
      </c>
      <c r="C18" s="6" t="s">
        <v>18</v>
      </c>
      <c r="D18" s="16" t="s">
        <v>53</v>
      </c>
      <c r="E18" s="16" t="s">
        <v>49</v>
      </c>
      <c r="F18" s="7">
        <v>381</v>
      </c>
      <c r="G18" s="8">
        <v>43.57</v>
      </c>
      <c r="H18" s="9">
        <v>94.5</v>
      </c>
      <c r="I18" s="9">
        <f t="shared" si="0"/>
        <v>4117.3649999999998</v>
      </c>
      <c r="J18" s="9">
        <f t="shared" si="1"/>
        <v>10.806732283464566</v>
      </c>
      <c r="K18" s="8">
        <f t="shared" si="2"/>
        <v>8.7445490016066092</v>
      </c>
      <c r="L18" s="6" t="s">
        <v>71</v>
      </c>
      <c r="M18" s="6" t="s">
        <v>55</v>
      </c>
    </row>
    <row r="19" spans="1:13" x14ac:dyDescent="0.25">
      <c r="A19" s="17" t="s">
        <v>89</v>
      </c>
      <c r="B19" s="18">
        <v>46235</v>
      </c>
      <c r="C19" s="1" t="s">
        <v>19</v>
      </c>
      <c r="D19" s="17" t="s">
        <v>57</v>
      </c>
      <c r="E19" s="17" t="s">
        <v>49</v>
      </c>
      <c r="F19" s="2">
        <v>848</v>
      </c>
      <c r="G19" s="3">
        <v>216.5</v>
      </c>
      <c r="H19" s="4">
        <v>91.2</v>
      </c>
      <c r="I19" s="4">
        <f t="shared" si="0"/>
        <v>19744.8</v>
      </c>
      <c r="J19" s="4">
        <f t="shared" si="1"/>
        <v>23.283962264150944</v>
      </c>
      <c r="K19" s="3">
        <f t="shared" si="2"/>
        <v>3.9168591224018474</v>
      </c>
      <c r="L19" s="1" t="s">
        <v>75</v>
      </c>
      <c r="M19" s="1" t="s">
        <v>59</v>
      </c>
    </row>
    <row r="20" spans="1:13" x14ac:dyDescent="0.25">
      <c r="A20" s="16" t="s">
        <v>90</v>
      </c>
      <c r="B20" s="19">
        <v>46236</v>
      </c>
      <c r="C20" s="6" t="s">
        <v>16</v>
      </c>
      <c r="D20" s="16" t="s">
        <v>61</v>
      </c>
      <c r="E20" s="16" t="s">
        <v>62</v>
      </c>
      <c r="F20" s="7">
        <v>147</v>
      </c>
      <c r="G20" s="8">
        <v>19.829999999999998</v>
      </c>
      <c r="H20" s="9">
        <v>8.5</v>
      </c>
      <c r="I20" s="9">
        <f t="shared" si="0"/>
        <v>168.55499999999998</v>
      </c>
      <c r="J20" s="9">
        <f t="shared" si="1"/>
        <v>1.1466326530612243</v>
      </c>
      <c r="K20" s="8">
        <f t="shared" si="2"/>
        <v>7.4130105900151291</v>
      </c>
      <c r="L20" s="6" t="s">
        <v>78</v>
      </c>
      <c r="M20" s="6" t="s">
        <v>64</v>
      </c>
    </row>
    <row r="21" spans="1:13" x14ac:dyDescent="0.25">
      <c r="A21" s="17" t="s">
        <v>91</v>
      </c>
      <c r="B21" s="18">
        <v>46237</v>
      </c>
      <c r="C21" s="1" t="s">
        <v>17</v>
      </c>
      <c r="D21" s="17" t="s">
        <v>66</v>
      </c>
      <c r="E21" s="17" t="s">
        <v>49</v>
      </c>
      <c r="F21" s="2">
        <v>266</v>
      </c>
      <c r="G21" s="3">
        <v>21.44</v>
      </c>
      <c r="H21" s="4">
        <v>94.5</v>
      </c>
      <c r="I21" s="4">
        <f t="shared" si="0"/>
        <v>2026.0800000000002</v>
      </c>
      <c r="J21" s="4">
        <f t="shared" si="1"/>
        <v>7.6168421052631583</v>
      </c>
      <c r="K21" s="3">
        <f t="shared" si="2"/>
        <v>12.406716417910447</v>
      </c>
      <c r="L21" s="1" t="s">
        <v>50</v>
      </c>
      <c r="M21" s="1" t="s">
        <v>68</v>
      </c>
    </row>
    <row r="22" spans="1:13" x14ac:dyDescent="0.25">
      <c r="A22" s="16" t="s">
        <v>92</v>
      </c>
      <c r="B22" s="19">
        <v>46238</v>
      </c>
      <c r="C22" s="6" t="s">
        <v>18</v>
      </c>
      <c r="D22" s="16" t="s">
        <v>70</v>
      </c>
      <c r="E22" s="16" t="s">
        <v>49</v>
      </c>
      <c r="F22" s="7">
        <v>494</v>
      </c>
      <c r="G22" s="8">
        <v>68.22</v>
      </c>
      <c r="H22" s="9">
        <v>94.5</v>
      </c>
      <c r="I22" s="9">
        <f t="shared" si="0"/>
        <v>6446.79</v>
      </c>
      <c r="J22" s="9">
        <f t="shared" si="1"/>
        <v>13.050182186234817</v>
      </c>
      <c r="K22" s="8">
        <f t="shared" si="2"/>
        <v>7.2412782175315158</v>
      </c>
      <c r="L22" s="6" t="s">
        <v>54</v>
      </c>
      <c r="M22" s="6" t="s">
        <v>72</v>
      </c>
    </row>
    <row r="23" spans="1:13" x14ac:dyDescent="0.25">
      <c r="A23" s="17" t="s">
        <v>93</v>
      </c>
      <c r="B23" s="18">
        <v>46239</v>
      </c>
      <c r="C23" s="1" t="s">
        <v>19</v>
      </c>
      <c r="D23" s="17" t="s">
        <v>74</v>
      </c>
      <c r="E23" s="17" t="s">
        <v>49</v>
      </c>
      <c r="F23" s="2">
        <v>852</v>
      </c>
      <c r="G23" s="3">
        <v>193.39</v>
      </c>
      <c r="H23" s="4">
        <v>91.2</v>
      </c>
      <c r="I23" s="4">
        <f t="shared" si="0"/>
        <v>17637.167999999998</v>
      </c>
      <c r="J23" s="4">
        <f t="shared" si="1"/>
        <v>20.700901408450701</v>
      </c>
      <c r="K23" s="3">
        <f t="shared" si="2"/>
        <v>4.4056052536325563</v>
      </c>
      <c r="L23" s="1" t="s">
        <v>58</v>
      </c>
      <c r="M23" s="1" t="s">
        <v>51</v>
      </c>
    </row>
    <row r="24" spans="1:13" x14ac:dyDescent="0.25">
      <c r="A24" s="16" t="s">
        <v>94</v>
      </c>
      <c r="B24" s="19">
        <v>46240</v>
      </c>
      <c r="C24" s="6" t="s">
        <v>16</v>
      </c>
      <c r="D24" s="16" t="s">
        <v>77</v>
      </c>
      <c r="E24" s="16" t="s">
        <v>62</v>
      </c>
      <c r="F24" s="7">
        <v>125</v>
      </c>
      <c r="G24" s="8">
        <v>17.96</v>
      </c>
      <c r="H24" s="9">
        <v>8.5</v>
      </c>
      <c r="I24" s="9">
        <f t="shared" si="0"/>
        <v>152.66</v>
      </c>
      <c r="J24" s="9">
        <f t="shared" si="1"/>
        <v>1.2212799999999999</v>
      </c>
      <c r="K24" s="8">
        <f t="shared" si="2"/>
        <v>6.9599109131403116</v>
      </c>
      <c r="L24" s="6" t="s">
        <v>63</v>
      </c>
      <c r="M24" s="6" t="s">
        <v>55</v>
      </c>
    </row>
    <row r="25" spans="1:13" x14ac:dyDescent="0.25">
      <c r="A25" s="17" t="s">
        <v>95</v>
      </c>
      <c r="B25" s="18">
        <v>46241</v>
      </c>
      <c r="C25" s="1" t="s">
        <v>17</v>
      </c>
      <c r="D25" s="17" t="s">
        <v>80</v>
      </c>
      <c r="E25" s="17" t="s">
        <v>49</v>
      </c>
      <c r="F25" s="2">
        <v>317</v>
      </c>
      <c r="G25" s="3">
        <v>25.36</v>
      </c>
      <c r="H25" s="4">
        <v>94.5</v>
      </c>
      <c r="I25" s="4">
        <f t="shared" si="0"/>
        <v>2396.52</v>
      </c>
      <c r="J25" s="4">
        <f t="shared" si="1"/>
        <v>7.56</v>
      </c>
      <c r="K25" s="3">
        <f t="shared" si="2"/>
        <v>12.5</v>
      </c>
      <c r="L25" s="1" t="s">
        <v>67</v>
      </c>
      <c r="M25" s="1" t="s">
        <v>59</v>
      </c>
    </row>
    <row r="26" spans="1:13" x14ac:dyDescent="0.25">
      <c r="A26" s="16" t="s">
        <v>96</v>
      </c>
      <c r="B26" s="19">
        <v>46242</v>
      </c>
      <c r="C26" s="6" t="s">
        <v>18</v>
      </c>
      <c r="D26" s="16" t="s">
        <v>82</v>
      </c>
      <c r="E26" s="16" t="s">
        <v>49</v>
      </c>
      <c r="F26" s="7">
        <v>493</v>
      </c>
      <c r="G26" s="8">
        <v>68.5</v>
      </c>
      <c r="H26" s="9">
        <v>94.5</v>
      </c>
      <c r="I26" s="9">
        <f t="shared" si="0"/>
        <v>6473.25</v>
      </c>
      <c r="J26" s="9">
        <f t="shared" si="1"/>
        <v>13.130324543610548</v>
      </c>
      <c r="K26" s="8">
        <f t="shared" si="2"/>
        <v>7.1970802919708028</v>
      </c>
      <c r="L26" s="6" t="s">
        <v>71</v>
      </c>
      <c r="M26" s="6" t="s">
        <v>64</v>
      </c>
    </row>
    <row r="27" spans="1:13" x14ac:dyDescent="0.25">
      <c r="A27" s="17" t="s">
        <v>97</v>
      </c>
      <c r="B27" s="18">
        <v>46243</v>
      </c>
      <c r="C27" s="1" t="s">
        <v>19</v>
      </c>
      <c r="D27" s="17" t="s">
        <v>84</v>
      </c>
      <c r="E27" s="17" t="s">
        <v>49</v>
      </c>
      <c r="F27" s="2">
        <v>800</v>
      </c>
      <c r="G27" s="3">
        <v>168.63</v>
      </c>
      <c r="H27" s="4">
        <v>91.2</v>
      </c>
      <c r="I27" s="4">
        <f t="shared" si="0"/>
        <v>15379.056</v>
      </c>
      <c r="J27" s="4">
        <f t="shared" si="1"/>
        <v>19.22382</v>
      </c>
      <c r="K27" s="3">
        <f t="shared" si="2"/>
        <v>4.7441143331554292</v>
      </c>
      <c r="L27" s="1" t="s">
        <v>75</v>
      </c>
      <c r="M27" s="1" t="s">
        <v>68</v>
      </c>
    </row>
    <row r="28" spans="1:13" x14ac:dyDescent="0.25">
      <c r="A28" s="16" t="s">
        <v>98</v>
      </c>
      <c r="B28" s="19">
        <v>46244</v>
      </c>
      <c r="C28" s="6" t="s">
        <v>16</v>
      </c>
      <c r="D28" s="16" t="s">
        <v>86</v>
      </c>
      <c r="E28" s="16" t="s">
        <v>62</v>
      </c>
      <c r="F28" s="7">
        <v>199</v>
      </c>
      <c r="G28" s="8">
        <v>27.37</v>
      </c>
      <c r="H28" s="9">
        <v>8.5</v>
      </c>
      <c r="I28" s="9">
        <f t="shared" si="0"/>
        <v>232.64500000000001</v>
      </c>
      <c r="J28" s="9">
        <f t="shared" si="1"/>
        <v>1.1690703517587939</v>
      </c>
      <c r="K28" s="8">
        <f t="shared" si="2"/>
        <v>7.270734380708805</v>
      </c>
      <c r="L28" s="6" t="s">
        <v>78</v>
      </c>
      <c r="M28" s="6" t="s">
        <v>72</v>
      </c>
    </row>
    <row r="29" spans="1:13" x14ac:dyDescent="0.25">
      <c r="A29" s="17" t="s">
        <v>99</v>
      </c>
      <c r="B29" s="18">
        <v>46245</v>
      </c>
      <c r="C29" s="1" t="s">
        <v>17</v>
      </c>
      <c r="D29" s="17" t="s">
        <v>48</v>
      </c>
      <c r="E29" s="17" t="s">
        <v>49</v>
      </c>
      <c r="F29" s="2">
        <v>272</v>
      </c>
      <c r="G29" s="3">
        <v>19.010000000000002</v>
      </c>
      <c r="H29" s="4">
        <v>94.5</v>
      </c>
      <c r="I29" s="4">
        <f t="shared" si="0"/>
        <v>1796.4450000000002</v>
      </c>
      <c r="J29" s="4">
        <f t="shared" si="1"/>
        <v>6.6045772058823538</v>
      </c>
      <c r="K29" s="3">
        <f t="shared" si="2"/>
        <v>14.308258811152024</v>
      </c>
      <c r="L29" s="1" t="s">
        <v>50</v>
      </c>
      <c r="M29" s="1" t="s">
        <v>51</v>
      </c>
    </row>
    <row r="30" spans="1:13" x14ac:dyDescent="0.25">
      <c r="A30" s="16" t="s">
        <v>100</v>
      </c>
      <c r="B30" s="19">
        <v>46246</v>
      </c>
      <c r="C30" s="6" t="s">
        <v>18</v>
      </c>
      <c r="D30" s="16" t="s">
        <v>53</v>
      </c>
      <c r="E30" s="16" t="s">
        <v>49</v>
      </c>
      <c r="F30" s="7">
        <v>335</v>
      </c>
      <c r="G30" s="8">
        <v>47.09</v>
      </c>
      <c r="H30" s="9">
        <v>94.5</v>
      </c>
      <c r="I30" s="9">
        <f t="shared" si="0"/>
        <v>4450.0050000000001</v>
      </c>
      <c r="J30" s="9">
        <f t="shared" si="1"/>
        <v>13.283597014925373</v>
      </c>
      <c r="K30" s="8">
        <f t="shared" si="2"/>
        <v>7.1140369505202798</v>
      </c>
      <c r="L30" s="6" t="s">
        <v>54</v>
      </c>
      <c r="M30" s="6" t="s">
        <v>55</v>
      </c>
    </row>
    <row r="31" spans="1:13" x14ac:dyDescent="0.25">
      <c r="A31" s="17" t="s">
        <v>101</v>
      </c>
      <c r="B31" s="18">
        <v>46247</v>
      </c>
      <c r="C31" s="1" t="s">
        <v>19</v>
      </c>
      <c r="D31" s="17" t="s">
        <v>57</v>
      </c>
      <c r="E31" s="17" t="s">
        <v>49</v>
      </c>
      <c r="F31" s="2">
        <v>733</v>
      </c>
      <c r="G31" s="3">
        <v>157.31</v>
      </c>
      <c r="H31" s="4">
        <v>91.2</v>
      </c>
      <c r="I31" s="4">
        <f t="shared" si="0"/>
        <v>14346.672</v>
      </c>
      <c r="J31" s="4">
        <f t="shared" si="1"/>
        <v>19.572540245566167</v>
      </c>
      <c r="K31" s="3">
        <f t="shared" si="2"/>
        <v>4.6595893458775661</v>
      </c>
      <c r="L31" s="1" t="s">
        <v>58</v>
      </c>
      <c r="M31" s="1" t="s">
        <v>59</v>
      </c>
    </row>
    <row r="32" spans="1:13" x14ac:dyDescent="0.25">
      <c r="A32" s="16" t="s">
        <v>102</v>
      </c>
      <c r="B32" s="19">
        <v>46248</v>
      </c>
      <c r="C32" s="6" t="s">
        <v>16</v>
      </c>
      <c r="D32" s="16" t="s">
        <v>61</v>
      </c>
      <c r="E32" s="16" t="s">
        <v>62</v>
      </c>
      <c r="F32" s="7">
        <v>130</v>
      </c>
      <c r="G32" s="8">
        <v>18.03</v>
      </c>
      <c r="H32" s="9">
        <v>8.5</v>
      </c>
      <c r="I32" s="9">
        <f t="shared" si="0"/>
        <v>153.255</v>
      </c>
      <c r="J32" s="9">
        <f t="shared" si="1"/>
        <v>1.1788846153846153</v>
      </c>
      <c r="K32" s="8">
        <f t="shared" si="2"/>
        <v>7.2102052135330004</v>
      </c>
      <c r="L32" s="6" t="s">
        <v>63</v>
      </c>
      <c r="M32" s="6" t="s">
        <v>64</v>
      </c>
    </row>
    <row r="33" spans="1:13" x14ac:dyDescent="0.25">
      <c r="A33" s="17" t="s">
        <v>103</v>
      </c>
      <c r="B33" s="18">
        <v>46249</v>
      </c>
      <c r="C33" s="1" t="s">
        <v>17</v>
      </c>
      <c r="D33" s="17" t="s">
        <v>66</v>
      </c>
      <c r="E33" s="17" t="s">
        <v>49</v>
      </c>
      <c r="F33" s="2">
        <v>205</v>
      </c>
      <c r="G33" s="3">
        <v>15.16</v>
      </c>
      <c r="H33" s="4">
        <v>94.5</v>
      </c>
      <c r="I33" s="4">
        <f t="shared" si="0"/>
        <v>1432.6200000000001</v>
      </c>
      <c r="J33" s="4">
        <f t="shared" si="1"/>
        <v>6.9883902439024395</v>
      </c>
      <c r="K33" s="3">
        <f t="shared" si="2"/>
        <v>13.522427440633246</v>
      </c>
      <c r="L33" s="1" t="s">
        <v>67</v>
      </c>
      <c r="M33" s="1" t="s">
        <v>68</v>
      </c>
    </row>
    <row r="34" spans="1:13" x14ac:dyDescent="0.25">
      <c r="A34" s="16" t="s">
        <v>104</v>
      </c>
      <c r="B34" s="19">
        <v>46235</v>
      </c>
      <c r="C34" s="6" t="s">
        <v>18</v>
      </c>
      <c r="D34" s="16" t="s">
        <v>70</v>
      </c>
      <c r="E34" s="16" t="s">
        <v>49</v>
      </c>
      <c r="F34" s="7">
        <v>532</v>
      </c>
      <c r="G34" s="8">
        <v>61.94</v>
      </c>
      <c r="H34" s="9">
        <v>94.5</v>
      </c>
      <c r="I34" s="9">
        <f t="shared" si="0"/>
        <v>5853.33</v>
      </c>
      <c r="J34" s="9">
        <f t="shared" si="1"/>
        <v>11.0025</v>
      </c>
      <c r="K34" s="8">
        <f t="shared" si="2"/>
        <v>8.5889570552147241</v>
      </c>
      <c r="L34" s="6" t="s">
        <v>71</v>
      </c>
      <c r="M34" s="6" t="s">
        <v>72</v>
      </c>
    </row>
    <row r="35" spans="1:13" x14ac:dyDescent="0.25">
      <c r="A35" s="11" t="s">
        <v>105</v>
      </c>
      <c r="B35" s="11"/>
      <c r="C35" s="11"/>
      <c r="D35" s="11"/>
      <c r="E35" s="11"/>
      <c r="F35" s="12">
        <f>SUM(F5:F34)</f>
        <v>12634</v>
      </c>
      <c r="G35" s="13">
        <f>SUM(G5:G34)</f>
        <v>2109.41</v>
      </c>
      <c r="H35" s="14">
        <f>AVERAGE(H5:H34)</f>
        <v>73.663333333333341</v>
      </c>
      <c r="I35" s="14">
        <f>SUM(I5:I34)</f>
        <v>180315.55199999997</v>
      </c>
      <c r="J35" s="14">
        <f t="shared" si="1"/>
        <v>14.272245686243467</v>
      </c>
      <c r="K35" s="13">
        <f t="shared" si="2"/>
        <v>5.9893524729663747</v>
      </c>
      <c r="L35" s="11"/>
      <c r="M35" s="11"/>
    </row>
  </sheetData>
  <mergeCells count="1"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5"/>
  <sheetViews>
    <sheetView tabSelected="1" topLeftCell="A33" zoomScale="130" zoomScaleNormal="130" workbookViewId="0">
      <selection activeCell="A2" sqref="A2:L2"/>
    </sheetView>
  </sheetViews>
  <sheetFormatPr defaultRowHeight="15" x14ac:dyDescent="0.25"/>
  <cols>
    <col min="1" max="1" width="20" customWidth="1"/>
    <col min="2" max="2" width="44" customWidth="1"/>
    <col min="3" max="3" width="24" customWidth="1"/>
    <col min="4" max="4" width="25" customWidth="1"/>
    <col min="5" max="5" width="26" customWidth="1"/>
    <col min="6" max="6" width="17" customWidth="1"/>
    <col min="7" max="7" width="18" customWidth="1"/>
    <col min="8" max="10" width="20" customWidth="1"/>
    <col min="11" max="11" width="39" customWidth="1"/>
    <col min="12" max="12" width="22" customWidth="1"/>
  </cols>
  <sheetData>
    <row r="2" spans="1:12" ht="21" x14ac:dyDescent="0.35">
      <c r="A2" s="41" t="s">
        <v>106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4" spans="1:12" ht="16.5" x14ac:dyDescent="0.25">
      <c r="A4" s="23" t="s">
        <v>107</v>
      </c>
      <c r="B4" s="23" t="s">
        <v>108</v>
      </c>
      <c r="C4" s="23" t="s">
        <v>109</v>
      </c>
      <c r="D4" s="23" t="s">
        <v>8</v>
      </c>
      <c r="E4" s="23" t="s">
        <v>110</v>
      </c>
      <c r="F4" s="23" t="s">
        <v>111</v>
      </c>
      <c r="G4" s="23" t="s">
        <v>112</v>
      </c>
      <c r="H4" s="23" t="s">
        <v>25</v>
      </c>
      <c r="I4" s="23" t="s">
        <v>113</v>
      </c>
      <c r="J4" s="23" t="s">
        <v>114</v>
      </c>
      <c r="K4" s="23" t="s">
        <v>115</v>
      </c>
      <c r="L4" s="23" t="s">
        <v>116</v>
      </c>
    </row>
    <row r="5" spans="1:12" x14ac:dyDescent="0.25">
      <c r="A5" s="17" t="s">
        <v>117</v>
      </c>
      <c r="B5" s="20">
        <v>46236.34375</v>
      </c>
      <c r="C5" s="20">
        <v>46236.410416666673</v>
      </c>
      <c r="D5" s="1" t="s">
        <v>16</v>
      </c>
      <c r="E5" s="1" t="s">
        <v>30</v>
      </c>
      <c r="F5" s="2">
        <v>45</v>
      </c>
      <c r="G5" s="17" t="s">
        <v>118</v>
      </c>
      <c r="H5" s="3">
        <v>2</v>
      </c>
      <c r="I5" s="3">
        <f t="shared" ref="I5:I34" si="0">(C5-B5)*24</f>
        <v>1.6000000001513399</v>
      </c>
      <c r="J5" s="3">
        <f t="shared" ref="J5:J34" si="1">MAX(0, I5-H5)</f>
        <v>0</v>
      </c>
      <c r="K5" s="17" t="str">
        <f t="shared" ref="K5:K34" si="2">IF(I5&lt;=H5, "On-Time", "Delayed")</f>
        <v>On-Time</v>
      </c>
      <c r="L5" s="1" t="s">
        <v>119</v>
      </c>
    </row>
    <row r="6" spans="1:12" x14ac:dyDescent="0.25">
      <c r="A6" s="16" t="s">
        <v>120</v>
      </c>
      <c r="B6" s="21">
        <v>46237.3125</v>
      </c>
      <c r="C6" s="21">
        <v>46237.64166666667</v>
      </c>
      <c r="D6" s="6" t="s">
        <v>17</v>
      </c>
      <c r="E6" s="6" t="s">
        <v>31</v>
      </c>
      <c r="F6" s="7">
        <v>350</v>
      </c>
      <c r="G6" s="16" t="s">
        <v>118</v>
      </c>
      <c r="H6" s="8">
        <v>8</v>
      </c>
      <c r="I6" s="8">
        <f t="shared" si="0"/>
        <v>7.9000000000814907</v>
      </c>
      <c r="J6" s="8">
        <f t="shared" si="1"/>
        <v>0</v>
      </c>
      <c r="K6" s="16" t="str">
        <f t="shared" si="2"/>
        <v>On-Time</v>
      </c>
      <c r="L6" s="6" t="s">
        <v>119</v>
      </c>
    </row>
    <row r="7" spans="1:12" x14ac:dyDescent="0.25">
      <c r="A7" s="17" t="s">
        <v>121</v>
      </c>
      <c r="B7" s="20">
        <v>46238.458333333343</v>
      </c>
      <c r="C7" s="20">
        <v>46238.741666666669</v>
      </c>
      <c r="D7" s="1" t="s">
        <v>17</v>
      </c>
      <c r="E7" s="1" t="s">
        <v>32</v>
      </c>
      <c r="F7" s="2">
        <v>280</v>
      </c>
      <c r="G7" s="17" t="s">
        <v>122</v>
      </c>
      <c r="H7" s="3">
        <v>7</v>
      </c>
      <c r="I7" s="3">
        <f t="shared" si="0"/>
        <v>6.7999999998137355</v>
      </c>
      <c r="J7" s="3">
        <f t="shared" si="1"/>
        <v>0</v>
      </c>
      <c r="K7" s="17" t="str">
        <f t="shared" si="2"/>
        <v>On-Time</v>
      </c>
      <c r="L7" s="1" t="s">
        <v>119</v>
      </c>
    </row>
    <row r="8" spans="1:12" x14ac:dyDescent="0.25">
      <c r="A8" s="16" t="s">
        <v>123</v>
      </c>
      <c r="B8" s="21">
        <v>46239.302083333343</v>
      </c>
      <c r="C8" s="21">
        <v>46239.997916666667</v>
      </c>
      <c r="D8" s="6" t="s">
        <v>18</v>
      </c>
      <c r="E8" s="6" t="s">
        <v>33</v>
      </c>
      <c r="F8" s="7">
        <v>580</v>
      </c>
      <c r="G8" s="16" t="s">
        <v>118</v>
      </c>
      <c r="H8" s="8">
        <v>15</v>
      </c>
      <c r="I8" s="8">
        <f t="shared" si="0"/>
        <v>16.699999999778811</v>
      </c>
      <c r="J8" s="8">
        <f t="shared" si="1"/>
        <v>1.6999999997788109</v>
      </c>
      <c r="K8" s="16" t="str">
        <f t="shared" si="2"/>
        <v>Delayed</v>
      </c>
      <c r="L8" s="6" t="s">
        <v>124</v>
      </c>
    </row>
    <row r="9" spans="1:12" x14ac:dyDescent="0.25">
      <c r="A9" s="17" t="s">
        <v>125</v>
      </c>
      <c r="B9" s="20">
        <v>46240.34375</v>
      </c>
      <c r="C9" s="20">
        <v>46240.61041666667</v>
      </c>
      <c r="D9" s="1" t="s">
        <v>19</v>
      </c>
      <c r="E9" s="1" t="s">
        <v>34</v>
      </c>
      <c r="F9" s="2">
        <v>270</v>
      </c>
      <c r="G9" s="17" t="s">
        <v>118</v>
      </c>
      <c r="H9" s="3">
        <v>6.5</v>
      </c>
      <c r="I9" s="3">
        <f t="shared" si="0"/>
        <v>6.4000000000814907</v>
      </c>
      <c r="J9" s="3">
        <f t="shared" si="1"/>
        <v>0</v>
      </c>
      <c r="K9" s="17" t="str">
        <f t="shared" si="2"/>
        <v>On-Time</v>
      </c>
      <c r="L9" s="1" t="s">
        <v>119</v>
      </c>
    </row>
    <row r="10" spans="1:12" x14ac:dyDescent="0.25">
      <c r="A10" s="16" t="s">
        <v>126</v>
      </c>
      <c r="B10" s="21">
        <v>46241.260416666657</v>
      </c>
      <c r="C10" s="21">
        <v>46241.427083333343</v>
      </c>
      <c r="D10" s="6" t="s">
        <v>16</v>
      </c>
      <c r="E10" s="6" t="s">
        <v>29</v>
      </c>
      <c r="F10" s="7">
        <v>150</v>
      </c>
      <c r="G10" s="16" t="s">
        <v>122</v>
      </c>
      <c r="H10" s="8">
        <v>4</v>
      </c>
      <c r="I10" s="8">
        <f t="shared" si="0"/>
        <v>4.0000000004656613</v>
      </c>
      <c r="J10" s="8">
        <f t="shared" si="1"/>
        <v>4.6566128730773926E-10</v>
      </c>
      <c r="K10" s="16" t="str">
        <f t="shared" si="2"/>
        <v>Delayed</v>
      </c>
      <c r="L10" s="6" t="s">
        <v>119</v>
      </c>
    </row>
    <row r="11" spans="1:12" x14ac:dyDescent="0.25">
      <c r="A11" s="17" t="s">
        <v>127</v>
      </c>
      <c r="B11" s="20">
        <v>46242.364583333343</v>
      </c>
      <c r="C11" s="20">
        <v>46242.427083333343</v>
      </c>
      <c r="D11" s="1" t="s">
        <v>16</v>
      </c>
      <c r="E11" s="1" t="s">
        <v>30</v>
      </c>
      <c r="F11" s="2">
        <v>45</v>
      </c>
      <c r="G11" s="17" t="s">
        <v>118</v>
      </c>
      <c r="H11" s="3">
        <v>2</v>
      </c>
      <c r="I11" s="3">
        <f t="shared" si="0"/>
        <v>1.5</v>
      </c>
      <c r="J11" s="3">
        <f t="shared" si="1"/>
        <v>0</v>
      </c>
      <c r="K11" s="17" t="str">
        <f t="shared" si="2"/>
        <v>On-Time</v>
      </c>
      <c r="L11" s="1" t="s">
        <v>119</v>
      </c>
    </row>
    <row r="12" spans="1:12" x14ac:dyDescent="0.25">
      <c r="A12" s="16" t="s">
        <v>128</v>
      </c>
      <c r="B12" s="21">
        <v>46243.3125</v>
      </c>
      <c r="C12" s="21">
        <v>46243.724999999999</v>
      </c>
      <c r="D12" s="6" t="s">
        <v>17</v>
      </c>
      <c r="E12" s="6" t="s">
        <v>31</v>
      </c>
      <c r="F12" s="7">
        <v>350</v>
      </c>
      <c r="G12" s="16" t="s">
        <v>118</v>
      </c>
      <c r="H12" s="8">
        <v>8</v>
      </c>
      <c r="I12" s="8">
        <f t="shared" si="0"/>
        <v>9.8999999999650754</v>
      </c>
      <c r="J12" s="8">
        <f t="shared" si="1"/>
        <v>1.8999999999650754</v>
      </c>
      <c r="K12" s="16" t="str">
        <f t="shared" si="2"/>
        <v>Delayed</v>
      </c>
      <c r="L12" s="6" t="s">
        <v>124</v>
      </c>
    </row>
    <row r="13" spans="1:12" x14ac:dyDescent="0.25">
      <c r="A13" s="17" t="s">
        <v>129</v>
      </c>
      <c r="B13" s="20">
        <v>46244.40625</v>
      </c>
      <c r="C13" s="20">
        <v>46244.668749999997</v>
      </c>
      <c r="D13" s="1" t="s">
        <v>17</v>
      </c>
      <c r="E13" s="1" t="s">
        <v>32</v>
      </c>
      <c r="F13" s="2">
        <v>280</v>
      </c>
      <c r="G13" s="17" t="s">
        <v>122</v>
      </c>
      <c r="H13" s="3">
        <v>7</v>
      </c>
      <c r="I13" s="3">
        <f t="shared" si="0"/>
        <v>6.2999999999301508</v>
      </c>
      <c r="J13" s="3">
        <f t="shared" si="1"/>
        <v>0</v>
      </c>
      <c r="K13" s="17" t="str">
        <f t="shared" si="2"/>
        <v>On-Time</v>
      </c>
      <c r="L13" s="1" t="s">
        <v>119</v>
      </c>
    </row>
    <row r="14" spans="1:12" x14ac:dyDescent="0.25">
      <c r="A14" s="16" t="s">
        <v>130</v>
      </c>
      <c r="B14" s="21">
        <v>46245.302083333343</v>
      </c>
      <c r="C14" s="21">
        <v>46245.92291666667</v>
      </c>
      <c r="D14" s="6" t="s">
        <v>18</v>
      </c>
      <c r="E14" s="6" t="s">
        <v>33</v>
      </c>
      <c r="F14" s="7">
        <v>580</v>
      </c>
      <c r="G14" s="16" t="s">
        <v>118</v>
      </c>
      <c r="H14" s="8">
        <v>15</v>
      </c>
      <c r="I14" s="8">
        <f t="shared" si="0"/>
        <v>14.89999999984866</v>
      </c>
      <c r="J14" s="8">
        <f t="shared" si="1"/>
        <v>0</v>
      </c>
      <c r="K14" s="16" t="str">
        <f t="shared" si="2"/>
        <v>On-Time</v>
      </c>
      <c r="L14" s="6" t="s">
        <v>119</v>
      </c>
    </row>
    <row r="15" spans="1:12" x14ac:dyDescent="0.25">
      <c r="A15" s="17" t="s">
        <v>131</v>
      </c>
      <c r="B15" s="20">
        <v>46246.4375</v>
      </c>
      <c r="C15" s="20">
        <v>46246.70416666667</v>
      </c>
      <c r="D15" s="1" t="s">
        <v>19</v>
      </c>
      <c r="E15" s="1" t="s">
        <v>34</v>
      </c>
      <c r="F15" s="2">
        <v>270</v>
      </c>
      <c r="G15" s="17" t="s">
        <v>118</v>
      </c>
      <c r="H15" s="3">
        <v>6.5</v>
      </c>
      <c r="I15" s="3">
        <f t="shared" si="0"/>
        <v>6.4000000000814907</v>
      </c>
      <c r="J15" s="3">
        <f t="shared" si="1"/>
        <v>0</v>
      </c>
      <c r="K15" s="17" t="str">
        <f t="shared" si="2"/>
        <v>On-Time</v>
      </c>
      <c r="L15" s="1" t="s">
        <v>119</v>
      </c>
    </row>
    <row r="16" spans="1:12" x14ac:dyDescent="0.25">
      <c r="A16" s="16" t="s">
        <v>132</v>
      </c>
      <c r="B16" s="21">
        <v>46247.40625</v>
      </c>
      <c r="C16" s="21">
        <v>46247.67291666667</v>
      </c>
      <c r="D16" s="6" t="s">
        <v>16</v>
      </c>
      <c r="E16" s="6" t="s">
        <v>29</v>
      </c>
      <c r="F16" s="7">
        <v>150</v>
      </c>
      <c r="G16" s="16" t="s">
        <v>122</v>
      </c>
      <c r="H16" s="8">
        <v>4</v>
      </c>
      <c r="I16" s="8">
        <f t="shared" si="0"/>
        <v>6.4000000000814907</v>
      </c>
      <c r="J16" s="8">
        <f t="shared" si="1"/>
        <v>2.4000000000814907</v>
      </c>
      <c r="K16" s="16" t="str">
        <f t="shared" si="2"/>
        <v>Delayed</v>
      </c>
      <c r="L16" s="6" t="s">
        <v>133</v>
      </c>
    </row>
    <row r="17" spans="1:12" x14ac:dyDescent="0.25">
      <c r="A17" s="17" t="s">
        <v>134</v>
      </c>
      <c r="B17" s="20">
        <v>46248.447916666657</v>
      </c>
      <c r="C17" s="20">
        <v>46248.502083333333</v>
      </c>
      <c r="D17" s="1" t="s">
        <v>16</v>
      </c>
      <c r="E17" s="1" t="s">
        <v>30</v>
      </c>
      <c r="F17" s="2">
        <v>45</v>
      </c>
      <c r="G17" s="17" t="s">
        <v>118</v>
      </c>
      <c r="H17" s="3">
        <v>2</v>
      </c>
      <c r="I17" s="3">
        <f t="shared" si="0"/>
        <v>1.3000000002211891</v>
      </c>
      <c r="J17" s="3">
        <f t="shared" si="1"/>
        <v>0</v>
      </c>
      <c r="K17" s="17" t="str">
        <f t="shared" si="2"/>
        <v>On-Time</v>
      </c>
      <c r="L17" s="1" t="s">
        <v>119</v>
      </c>
    </row>
    <row r="18" spans="1:12" x14ac:dyDescent="0.25">
      <c r="A18" s="16" t="s">
        <v>135</v>
      </c>
      <c r="B18" s="21">
        <v>46249.25</v>
      </c>
      <c r="C18" s="21">
        <v>46249.558333333327</v>
      </c>
      <c r="D18" s="6" t="s">
        <v>17</v>
      </c>
      <c r="E18" s="6" t="s">
        <v>31</v>
      </c>
      <c r="F18" s="7">
        <v>350</v>
      </c>
      <c r="G18" s="16" t="s">
        <v>118</v>
      </c>
      <c r="H18" s="8">
        <v>8</v>
      </c>
      <c r="I18" s="8">
        <f t="shared" si="0"/>
        <v>7.3999999998486601</v>
      </c>
      <c r="J18" s="8">
        <f t="shared" si="1"/>
        <v>0</v>
      </c>
      <c r="K18" s="16" t="str">
        <f t="shared" si="2"/>
        <v>On-Time</v>
      </c>
      <c r="L18" s="6" t="s">
        <v>119</v>
      </c>
    </row>
    <row r="19" spans="1:12" x14ac:dyDescent="0.25">
      <c r="A19" s="17" t="s">
        <v>136</v>
      </c>
      <c r="B19" s="20">
        <v>46235.322916666657</v>
      </c>
      <c r="C19" s="20">
        <v>46235.606249999997</v>
      </c>
      <c r="D19" s="1" t="s">
        <v>17</v>
      </c>
      <c r="E19" s="1" t="s">
        <v>32</v>
      </c>
      <c r="F19" s="2">
        <v>280</v>
      </c>
      <c r="G19" s="17" t="s">
        <v>122</v>
      </c>
      <c r="H19" s="3">
        <v>7</v>
      </c>
      <c r="I19" s="3">
        <f t="shared" si="0"/>
        <v>6.8000000001629815</v>
      </c>
      <c r="J19" s="3">
        <f t="shared" si="1"/>
        <v>0</v>
      </c>
      <c r="K19" s="17" t="str">
        <f t="shared" si="2"/>
        <v>On-Time</v>
      </c>
      <c r="L19" s="1" t="s">
        <v>119</v>
      </c>
    </row>
    <row r="20" spans="1:12" x14ac:dyDescent="0.25">
      <c r="A20" s="16" t="s">
        <v>137</v>
      </c>
      <c r="B20" s="21">
        <v>46236.40625</v>
      </c>
      <c r="C20" s="21">
        <v>46237.164583333331</v>
      </c>
      <c r="D20" s="6" t="s">
        <v>18</v>
      </c>
      <c r="E20" s="6" t="s">
        <v>33</v>
      </c>
      <c r="F20" s="7">
        <v>580</v>
      </c>
      <c r="G20" s="16" t="s">
        <v>118</v>
      </c>
      <c r="H20" s="8">
        <v>15</v>
      </c>
      <c r="I20" s="8">
        <f t="shared" si="0"/>
        <v>18.199999999953434</v>
      </c>
      <c r="J20" s="8">
        <f t="shared" si="1"/>
        <v>3.1999999999534339</v>
      </c>
      <c r="K20" s="16" t="str">
        <f t="shared" si="2"/>
        <v>Delayed</v>
      </c>
      <c r="L20" s="6" t="s">
        <v>124</v>
      </c>
    </row>
    <row r="21" spans="1:12" x14ac:dyDescent="0.25">
      <c r="A21" s="17" t="s">
        <v>138</v>
      </c>
      <c r="B21" s="20">
        <v>46237.4375</v>
      </c>
      <c r="C21" s="20">
        <v>46237.716666666667</v>
      </c>
      <c r="D21" s="1" t="s">
        <v>19</v>
      </c>
      <c r="E21" s="1" t="s">
        <v>34</v>
      </c>
      <c r="F21" s="2">
        <v>270</v>
      </c>
      <c r="G21" s="17" t="s">
        <v>118</v>
      </c>
      <c r="H21" s="3">
        <v>6.5</v>
      </c>
      <c r="I21" s="3">
        <f t="shared" si="0"/>
        <v>6.7000000000116415</v>
      </c>
      <c r="J21" s="3">
        <f t="shared" si="1"/>
        <v>0.20000000001164153</v>
      </c>
      <c r="K21" s="17" t="str">
        <f t="shared" si="2"/>
        <v>Delayed</v>
      </c>
      <c r="L21" s="1" t="s">
        <v>119</v>
      </c>
    </row>
    <row r="22" spans="1:12" x14ac:dyDescent="0.25">
      <c r="A22" s="16" t="s">
        <v>139</v>
      </c>
      <c r="B22" s="21">
        <v>46238.25</v>
      </c>
      <c r="C22" s="21">
        <v>46238.412499999999</v>
      </c>
      <c r="D22" s="6" t="s">
        <v>16</v>
      </c>
      <c r="E22" s="6" t="s">
        <v>29</v>
      </c>
      <c r="F22" s="7">
        <v>150</v>
      </c>
      <c r="G22" s="16" t="s">
        <v>122</v>
      </c>
      <c r="H22" s="8">
        <v>4</v>
      </c>
      <c r="I22" s="8">
        <f t="shared" si="0"/>
        <v>3.8999999999650754</v>
      </c>
      <c r="J22" s="8">
        <f t="shared" si="1"/>
        <v>0</v>
      </c>
      <c r="K22" s="16" t="str">
        <f t="shared" si="2"/>
        <v>On-Time</v>
      </c>
      <c r="L22" s="6" t="s">
        <v>119</v>
      </c>
    </row>
    <row r="23" spans="1:12" x14ac:dyDescent="0.25">
      <c r="A23" s="17" t="s">
        <v>140</v>
      </c>
      <c r="B23" s="20">
        <v>46239.4375</v>
      </c>
      <c r="C23" s="20">
        <v>46239.520833333343</v>
      </c>
      <c r="D23" s="1" t="s">
        <v>16</v>
      </c>
      <c r="E23" s="1" t="s">
        <v>30</v>
      </c>
      <c r="F23" s="2">
        <v>45</v>
      </c>
      <c r="G23" s="17" t="s">
        <v>118</v>
      </c>
      <c r="H23" s="3">
        <v>2</v>
      </c>
      <c r="I23" s="3">
        <f t="shared" si="0"/>
        <v>2.0000000002328306</v>
      </c>
      <c r="J23" s="3">
        <f t="shared" si="1"/>
        <v>2.3283064365386963E-10</v>
      </c>
      <c r="K23" s="17" t="str">
        <f t="shared" si="2"/>
        <v>Delayed</v>
      </c>
      <c r="L23" s="1" t="s">
        <v>119</v>
      </c>
    </row>
    <row r="24" spans="1:12" x14ac:dyDescent="0.25">
      <c r="A24" s="16" t="s">
        <v>141</v>
      </c>
      <c r="B24" s="21">
        <v>46240.333333333343</v>
      </c>
      <c r="C24" s="21">
        <v>46240.758333333331</v>
      </c>
      <c r="D24" s="6" t="s">
        <v>17</v>
      </c>
      <c r="E24" s="6" t="s">
        <v>31</v>
      </c>
      <c r="F24" s="7">
        <v>350</v>
      </c>
      <c r="G24" s="16" t="s">
        <v>118</v>
      </c>
      <c r="H24" s="8">
        <v>8</v>
      </c>
      <c r="I24" s="8">
        <f t="shared" si="0"/>
        <v>10.199999999720603</v>
      </c>
      <c r="J24" s="8">
        <f t="shared" si="1"/>
        <v>2.1999999997206032</v>
      </c>
      <c r="K24" s="16" t="str">
        <f t="shared" si="2"/>
        <v>Delayed</v>
      </c>
      <c r="L24" s="6" t="s">
        <v>133</v>
      </c>
    </row>
    <row r="25" spans="1:12" x14ac:dyDescent="0.25">
      <c r="A25" s="17" t="s">
        <v>142</v>
      </c>
      <c r="B25" s="20">
        <v>46241.375</v>
      </c>
      <c r="C25" s="20">
        <v>46241.675000000003</v>
      </c>
      <c r="D25" s="1" t="s">
        <v>17</v>
      </c>
      <c r="E25" s="1" t="s">
        <v>32</v>
      </c>
      <c r="F25" s="2">
        <v>280</v>
      </c>
      <c r="G25" s="17" t="s">
        <v>122</v>
      </c>
      <c r="H25" s="3">
        <v>7</v>
      </c>
      <c r="I25" s="3">
        <f t="shared" si="0"/>
        <v>7.2000000000698492</v>
      </c>
      <c r="J25" s="3">
        <f t="shared" si="1"/>
        <v>0.20000000006984919</v>
      </c>
      <c r="K25" s="17" t="str">
        <f t="shared" si="2"/>
        <v>Delayed</v>
      </c>
      <c r="L25" s="1" t="s">
        <v>119</v>
      </c>
    </row>
    <row r="26" spans="1:12" x14ac:dyDescent="0.25">
      <c r="A26" s="16" t="s">
        <v>143</v>
      </c>
      <c r="B26" s="21">
        <v>46242.479166666657</v>
      </c>
      <c r="C26" s="21">
        <v>46243.112500000003</v>
      </c>
      <c r="D26" s="6" t="s">
        <v>18</v>
      </c>
      <c r="E26" s="6" t="s">
        <v>33</v>
      </c>
      <c r="F26" s="7">
        <v>580</v>
      </c>
      <c r="G26" s="16" t="s">
        <v>118</v>
      </c>
      <c r="H26" s="8">
        <v>15</v>
      </c>
      <c r="I26" s="8">
        <f t="shared" si="0"/>
        <v>15.20000000030268</v>
      </c>
      <c r="J26" s="8">
        <f t="shared" si="1"/>
        <v>0.20000000030267984</v>
      </c>
      <c r="K26" s="16" t="str">
        <f t="shared" si="2"/>
        <v>Delayed</v>
      </c>
      <c r="L26" s="6" t="s">
        <v>119</v>
      </c>
    </row>
    <row r="27" spans="1:12" x14ac:dyDescent="0.25">
      <c r="A27" s="17" t="s">
        <v>144</v>
      </c>
      <c r="B27" s="20">
        <v>46243.291666666657</v>
      </c>
      <c r="C27" s="20">
        <v>46243.566666666673</v>
      </c>
      <c r="D27" s="1" t="s">
        <v>19</v>
      </c>
      <c r="E27" s="1" t="s">
        <v>34</v>
      </c>
      <c r="F27" s="2">
        <v>270</v>
      </c>
      <c r="G27" s="17" t="s">
        <v>118</v>
      </c>
      <c r="H27" s="3">
        <v>6.5</v>
      </c>
      <c r="I27" s="3">
        <f t="shared" si="0"/>
        <v>6.6000000003841706</v>
      </c>
      <c r="J27" s="3">
        <f t="shared" si="1"/>
        <v>0.10000000038417056</v>
      </c>
      <c r="K27" s="17" t="str">
        <f t="shared" si="2"/>
        <v>Delayed</v>
      </c>
      <c r="L27" s="1" t="s">
        <v>119</v>
      </c>
    </row>
    <row r="28" spans="1:12" x14ac:dyDescent="0.25">
      <c r="A28" s="16" t="s">
        <v>145</v>
      </c>
      <c r="B28" s="21">
        <v>46244.34375</v>
      </c>
      <c r="C28" s="21">
        <v>46244.581250000003</v>
      </c>
      <c r="D28" s="6" t="s">
        <v>16</v>
      </c>
      <c r="E28" s="6" t="s">
        <v>29</v>
      </c>
      <c r="F28" s="7">
        <v>150</v>
      </c>
      <c r="G28" s="16" t="s">
        <v>122</v>
      </c>
      <c r="H28" s="8">
        <v>4</v>
      </c>
      <c r="I28" s="8">
        <f t="shared" si="0"/>
        <v>5.7000000000698492</v>
      </c>
      <c r="J28" s="8">
        <f t="shared" si="1"/>
        <v>1.7000000000698492</v>
      </c>
      <c r="K28" s="16" t="str">
        <f t="shared" si="2"/>
        <v>Delayed</v>
      </c>
      <c r="L28" s="6" t="s">
        <v>133</v>
      </c>
    </row>
    <row r="29" spans="1:12" x14ac:dyDescent="0.25">
      <c r="A29" s="17" t="s">
        <v>146</v>
      </c>
      <c r="B29" s="20">
        <v>46245.416666666657</v>
      </c>
      <c r="C29" s="20">
        <v>46245.491666666669</v>
      </c>
      <c r="D29" s="1" t="s">
        <v>16</v>
      </c>
      <c r="E29" s="1" t="s">
        <v>30</v>
      </c>
      <c r="F29" s="2">
        <v>45</v>
      </c>
      <c r="G29" s="17" t="s">
        <v>118</v>
      </c>
      <c r="H29" s="3">
        <v>2</v>
      </c>
      <c r="I29" s="3">
        <f t="shared" si="0"/>
        <v>1.8000000002793968</v>
      </c>
      <c r="J29" s="3">
        <f t="shared" si="1"/>
        <v>0</v>
      </c>
      <c r="K29" s="17" t="str">
        <f t="shared" si="2"/>
        <v>On-Time</v>
      </c>
      <c r="L29" s="1" t="s">
        <v>119</v>
      </c>
    </row>
    <row r="30" spans="1:12" x14ac:dyDescent="0.25">
      <c r="A30" s="16" t="s">
        <v>147</v>
      </c>
      <c r="B30" s="21">
        <v>46246.375</v>
      </c>
      <c r="C30" s="21">
        <v>46246.679166666669</v>
      </c>
      <c r="D30" s="6" t="s">
        <v>17</v>
      </c>
      <c r="E30" s="6" t="s">
        <v>31</v>
      </c>
      <c r="F30" s="7">
        <v>350</v>
      </c>
      <c r="G30" s="16" t="s">
        <v>118</v>
      </c>
      <c r="H30" s="8">
        <v>8</v>
      </c>
      <c r="I30" s="8">
        <f t="shared" si="0"/>
        <v>7.3000000000465661</v>
      </c>
      <c r="J30" s="8">
        <f t="shared" si="1"/>
        <v>0</v>
      </c>
      <c r="K30" s="16" t="str">
        <f t="shared" si="2"/>
        <v>On-Time</v>
      </c>
      <c r="L30" s="6" t="s">
        <v>119</v>
      </c>
    </row>
    <row r="31" spans="1:12" x14ac:dyDescent="0.25">
      <c r="A31" s="17" t="s">
        <v>148</v>
      </c>
      <c r="B31" s="20">
        <v>46247.354166666657</v>
      </c>
      <c r="C31" s="20">
        <v>46247.620833333327</v>
      </c>
      <c r="D31" s="1" t="s">
        <v>17</v>
      </c>
      <c r="E31" s="1" t="s">
        <v>32</v>
      </c>
      <c r="F31" s="2">
        <v>280</v>
      </c>
      <c r="G31" s="17" t="s">
        <v>122</v>
      </c>
      <c r="H31" s="3">
        <v>7</v>
      </c>
      <c r="I31" s="3">
        <f t="shared" si="0"/>
        <v>6.4000000000814907</v>
      </c>
      <c r="J31" s="3">
        <f t="shared" si="1"/>
        <v>0</v>
      </c>
      <c r="K31" s="17" t="str">
        <f t="shared" si="2"/>
        <v>On-Time</v>
      </c>
      <c r="L31" s="1" t="s">
        <v>119</v>
      </c>
    </row>
    <row r="32" spans="1:12" x14ac:dyDescent="0.25">
      <c r="A32" s="16" t="s">
        <v>149</v>
      </c>
      <c r="B32" s="21">
        <v>46248.291666666657</v>
      </c>
      <c r="C32" s="21">
        <v>46248.979166666657</v>
      </c>
      <c r="D32" s="6" t="s">
        <v>18</v>
      </c>
      <c r="E32" s="6" t="s">
        <v>33</v>
      </c>
      <c r="F32" s="7">
        <v>580</v>
      </c>
      <c r="G32" s="16" t="s">
        <v>118</v>
      </c>
      <c r="H32" s="8">
        <v>15</v>
      </c>
      <c r="I32" s="8">
        <f t="shared" si="0"/>
        <v>16.5</v>
      </c>
      <c r="J32" s="8">
        <f t="shared" si="1"/>
        <v>1.5</v>
      </c>
      <c r="K32" s="16" t="str">
        <f t="shared" si="2"/>
        <v>Delayed</v>
      </c>
      <c r="L32" s="6" t="s">
        <v>124</v>
      </c>
    </row>
    <row r="33" spans="1:12" x14ac:dyDescent="0.25">
      <c r="A33" s="17" t="s">
        <v>150</v>
      </c>
      <c r="B33" s="20">
        <v>46249.260416666657</v>
      </c>
      <c r="C33" s="20">
        <v>46249.502083333333</v>
      </c>
      <c r="D33" s="1" t="s">
        <v>19</v>
      </c>
      <c r="E33" s="1" t="s">
        <v>34</v>
      </c>
      <c r="F33" s="2">
        <v>270</v>
      </c>
      <c r="G33" s="17" t="s">
        <v>118</v>
      </c>
      <c r="H33" s="3">
        <v>6.5</v>
      </c>
      <c r="I33" s="3">
        <f t="shared" si="0"/>
        <v>5.8000000002211891</v>
      </c>
      <c r="J33" s="3">
        <f t="shared" si="1"/>
        <v>0</v>
      </c>
      <c r="K33" s="17" t="str">
        <f t="shared" si="2"/>
        <v>On-Time</v>
      </c>
      <c r="L33" s="1" t="s">
        <v>119</v>
      </c>
    </row>
    <row r="34" spans="1:12" x14ac:dyDescent="0.25">
      <c r="A34" s="16" t="s">
        <v>151</v>
      </c>
      <c r="B34" s="21">
        <v>46235.385416666657</v>
      </c>
      <c r="C34" s="21">
        <v>46235.53125</v>
      </c>
      <c r="D34" s="6" t="s">
        <v>16</v>
      </c>
      <c r="E34" s="6" t="s">
        <v>29</v>
      </c>
      <c r="F34" s="7">
        <v>150</v>
      </c>
      <c r="G34" s="16" t="s">
        <v>122</v>
      </c>
      <c r="H34" s="8">
        <v>4</v>
      </c>
      <c r="I34" s="8">
        <f t="shared" si="0"/>
        <v>3.5000000002328306</v>
      </c>
      <c r="J34" s="8">
        <f t="shared" si="1"/>
        <v>0</v>
      </c>
      <c r="K34" s="16" t="str">
        <f t="shared" si="2"/>
        <v>On-Time</v>
      </c>
      <c r="L34" s="6" t="s">
        <v>119</v>
      </c>
    </row>
    <row r="35" spans="1:12" x14ac:dyDescent="0.25">
      <c r="A35" s="11" t="s">
        <v>152</v>
      </c>
      <c r="B35" s="11"/>
      <c r="C35" s="11"/>
      <c r="D35" s="11"/>
      <c r="E35" s="11"/>
      <c r="F35" s="12">
        <f>SUM(F5:F34)</f>
        <v>8375</v>
      </c>
      <c r="G35" s="11"/>
      <c r="H35" s="13">
        <f>AVERAGE(H5:H34)</f>
        <v>7.083333333333333</v>
      </c>
      <c r="I35" s="13">
        <f>AVERAGE(I5:I34)</f>
        <v>7.3766666667361278</v>
      </c>
      <c r="J35" s="13">
        <f>AVERAGE(J5:J34)</f>
        <v>0.51000000003453649</v>
      </c>
      <c r="K35" s="11"/>
      <c r="L35" s="11"/>
    </row>
  </sheetData>
  <mergeCells count="1">
    <mergeCell ref="A2:L2"/>
  </mergeCells>
  <conditionalFormatting sqref="K5:K34">
    <cfRule type="cellIs" dxfId="1" priority="1" operator="equal">
      <formula>"Delayed"</formula>
    </cfRule>
    <cfRule type="cellIs" dxfId="0" priority="2" operator="equal">
      <formula>"On-Time"</formula>
    </cfRule>
  </conditionalFormatting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Executive Dashboard</vt:lpstr>
      <vt:lpstr>Fuel Logs</vt:lpstr>
      <vt:lpstr>Delivery 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2026-09-01T15:10:39Z</dcterms:created>
  <dcterms:modified xsi:type="dcterms:W3CDTF">2026-09-01T16:59:26Z</dcterms:modified>
</cp:coreProperties>
</file>