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561D771B-C03E-4A84-B8CF-CBB42723FA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ecutive Dashboard" sheetId="1" r:id="rId1"/>
    <sheet name="Deal Pipeline Master" sheetId="2" r:id="rId2"/>
    <sheet name="Valuation &amp; Term Sheet Model" sheetId="3" r:id="rId3"/>
    <sheet name="Sector &amp; Stage Matrix" sheetId="4" r:id="rId4"/>
  </sheets>
  <calcPr calcId="191029"/>
</workbook>
</file>

<file path=xl/calcChain.xml><?xml version="1.0" encoding="utf-8"?>
<calcChain xmlns="http://schemas.openxmlformats.org/spreadsheetml/2006/main">
  <c r="E15" i="3" l="1"/>
  <c r="F15" i="3" s="1"/>
  <c r="H15" i="3" s="1"/>
  <c r="E13" i="3"/>
  <c r="F13" i="3" s="1"/>
  <c r="H13" i="3" s="1"/>
  <c r="E12" i="3"/>
  <c r="F12" i="3" s="1"/>
  <c r="H12" i="3" s="1"/>
  <c r="E11" i="3"/>
  <c r="F11" i="3" s="1"/>
  <c r="H11" i="3" s="1"/>
  <c r="N10" i="3"/>
  <c r="M10" i="3"/>
  <c r="E10" i="3"/>
  <c r="F10" i="3" s="1"/>
  <c r="H10" i="3" s="1"/>
  <c r="N9" i="3"/>
  <c r="M9" i="3"/>
  <c r="E9" i="3"/>
  <c r="F9" i="3" s="1"/>
  <c r="H9" i="3" s="1"/>
  <c r="N8" i="3"/>
  <c r="M8" i="3"/>
  <c r="E8" i="3"/>
  <c r="F8" i="3" s="1"/>
  <c r="H8" i="3" s="1"/>
  <c r="N7" i="3"/>
  <c r="M7" i="3"/>
  <c r="E7" i="3"/>
  <c r="F7" i="3" s="1"/>
  <c r="H7" i="3" s="1"/>
  <c r="N6" i="3"/>
  <c r="M6" i="3"/>
  <c r="E6" i="3"/>
  <c r="F6" i="3" s="1"/>
  <c r="H6" i="3" s="1"/>
  <c r="N5" i="3"/>
  <c r="M5" i="3"/>
  <c r="E5" i="3"/>
  <c r="F5" i="3" s="1"/>
  <c r="H5" i="3" s="1"/>
  <c r="I13" i="2"/>
  <c r="J13" i="2" s="1"/>
  <c r="I12" i="2"/>
  <c r="J12" i="2" s="1"/>
  <c r="I11" i="2"/>
  <c r="J11" i="2" s="1"/>
  <c r="M16" i="3" s="1"/>
  <c r="I10" i="2"/>
  <c r="J10" i="2" s="1"/>
  <c r="I9" i="2"/>
  <c r="J9" i="2" s="1"/>
  <c r="M22" i="3" s="1"/>
  <c r="I8" i="2"/>
  <c r="J8" i="2" s="1"/>
  <c r="M17" i="3" s="1"/>
  <c r="I7" i="2"/>
  <c r="J7" i="2" s="1"/>
  <c r="M21" i="3" s="1"/>
  <c r="I6" i="2"/>
  <c r="J6" i="2" s="1"/>
  <c r="M20" i="3" s="1"/>
  <c r="I5" i="2"/>
  <c r="J5" i="2" s="1"/>
  <c r="M18" i="3" s="1"/>
  <c r="I4" i="2"/>
  <c r="J4" i="2" s="1"/>
  <c r="L38" i="1"/>
  <c r="H38" i="1"/>
  <c r="L37" i="1"/>
  <c r="H37" i="1"/>
  <c r="G37" i="1"/>
  <c r="F37" i="1"/>
  <c r="E37" i="1"/>
  <c r="C37" i="1"/>
  <c r="B37" i="1"/>
  <c r="L36" i="1"/>
  <c r="H36" i="1"/>
  <c r="G36" i="1"/>
  <c r="F36" i="1"/>
  <c r="E36" i="1"/>
  <c r="C36" i="1"/>
  <c r="B36" i="1"/>
  <c r="L35" i="1"/>
  <c r="H35" i="1"/>
  <c r="G35" i="1"/>
  <c r="F35" i="1"/>
  <c r="E35" i="1"/>
  <c r="C35" i="1"/>
  <c r="B35" i="1"/>
  <c r="L34" i="1"/>
  <c r="H34" i="1"/>
  <c r="G34" i="1"/>
  <c r="F34" i="1"/>
  <c r="E34" i="1"/>
  <c r="C34" i="1"/>
  <c r="B34" i="1"/>
  <c r="L33" i="1"/>
  <c r="H33" i="1"/>
  <c r="G33" i="1"/>
  <c r="F33" i="1"/>
  <c r="E33" i="1"/>
  <c r="C33" i="1"/>
  <c r="B33" i="1"/>
  <c r="L32" i="1"/>
  <c r="H32" i="1"/>
  <c r="G32" i="1"/>
  <c r="F32" i="1"/>
  <c r="E32" i="1"/>
  <c r="C32" i="1"/>
  <c r="B32" i="1"/>
  <c r="L31" i="1"/>
  <c r="H31" i="1"/>
  <c r="G31" i="1"/>
  <c r="F31" i="1"/>
  <c r="E31" i="1"/>
  <c r="C31" i="1"/>
  <c r="B31" i="1"/>
  <c r="L30" i="1"/>
  <c r="H30" i="1"/>
  <c r="G30" i="1"/>
  <c r="F30" i="1"/>
  <c r="E30" i="1"/>
  <c r="C30" i="1"/>
  <c r="B30" i="1"/>
  <c r="L29" i="1"/>
  <c r="H29" i="1"/>
  <c r="G29" i="1"/>
  <c r="F29" i="1"/>
  <c r="E29" i="1"/>
  <c r="C29" i="1"/>
  <c r="B29" i="1"/>
  <c r="L28" i="1"/>
  <c r="H28" i="1"/>
  <c r="G28" i="1"/>
  <c r="F28" i="1"/>
  <c r="E28" i="1"/>
  <c r="C28" i="1"/>
  <c r="B28" i="1"/>
  <c r="K6" i="1"/>
  <c r="E6" i="1"/>
  <c r="B6" i="1"/>
  <c r="G38" i="1" l="1"/>
  <c r="I6" i="3"/>
  <c r="K29" i="1" s="1"/>
  <c r="J29" i="1"/>
  <c r="J34" i="1"/>
  <c r="I11" i="3"/>
  <c r="K34" i="1" s="1"/>
  <c r="I5" i="3"/>
  <c r="K28" i="1" s="1"/>
  <c r="J28" i="1"/>
  <c r="I9" i="3"/>
  <c r="K32" i="1" s="1"/>
  <c r="J32" i="1"/>
  <c r="I10" i="3"/>
  <c r="K33" i="1" s="1"/>
  <c r="J33" i="1"/>
  <c r="I12" i="3"/>
  <c r="K35" i="1" s="1"/>
  <c r="J35" i="1"/>
  <c r="I8" i="3"/>
  <c r="K31" i="1" s="1"/>
  <c r="J31" i="1"/>
  <c r="I13" i="3"/>
  <c r="K36" i="1" s="1"/>
  <c r="J36" i="1"/>
  <c r="M19" i="3"/>
  <c r="H6" i="1"/>
  <c r="J30" i="1"/>
  <c r="I7" i="3"/>
  <c r="K30" i="1" s="1"/>
  <c r="J37" i="1"/>
  <c r="I15" i="3"/>
  <c r="K37" i="1" s="1"/>
  <c r="J38" i="1" l="1"/>
  <c r="K38" i="1"/>
</calcChain>
</file>

<file path=xl/sharedStrings.xml><?xml version="1.0" encoding="utf-8"?>
<sst xmlns="http://schemas.openxmlformats.org/spreadsheetml/2006/main" count="220" uniqueCount="130">
  <si>
    <t>INDIAN PRIVATE EQUITY &amp; VENTURE CAPITAL DEAL FLOW TRACKER</t>
  </si>
  <si>
    <t>Pipeline Sourcing, Valuation Multiples, Stage Probability Weightings &amp; Capital Deployment Analytics | FY2026</t>
  </si>
  <si>
    <t>ACTIVE PIPELINE DEALS</t>
  </si>
  <si>
    <t>TOTAL GROSS CAPITAL ASK</t>
  </si>
  <si>
    <t>WEIGHTED EXPECTED PIPELINE</t>
  </si>
  <si>
    <t>AVG TARGET INVESTOR IRR</t>
  </si>
  <si>
    <t>EXECUTIVE DEAL PIPELINE AUDIT &amp; TERM SHEET LEADERBOARD</t>
  </si>
  <si>
    <t>Deal ID</t>
  </si>
  <si>
    <t>Company Name</t>
  </si>
  <si>
    <t>Sector Vertical</t>
  </si>
  <si>
    <t>Lead Sponsor</t>
  </si>
  <si>
    <t>Target Ask (₹ Cr)</t>
  </si>
  <si>
    <t>Current Stage</t>
  </si>
  <si>
    <t>Post-Money Val (₹ Cr)</t>
  </si>
  <si>
    <t>Fund Equity %</t>
  </si>
  <si>
    <t>Status</t>
  </si>
  <si>
    <t>TOTAL / AVG</t>
  </si>
  <si>
    <t>10 Deals Audited</t>
  </si>
  <si>
    <t>Portfolio Summary</t>
  </si>
  <si>
    <t>India Fund</t>
  </si>
  <si>
    <t>VENTURE CAPITAL &amp; PRIVATE EQUITY DEAL PIPELINE REGISTER</t>
  </si>
  <si>
    <t>HQ City</t>
  </si>
  <si>
    <t>Investment Series Stage</t>
  </si>
  <si>
    <t>Lead Deal Sponsor</t>
  </si>
  <si>
    <t>Current Deal Stage</t>
  </si>
  <si>
    <t>Stage Probability %</t>
  </si>
  <si>
    <t>Weighted Expected Value (₹ Cr)</t>
  </si>
  <si>
    <t>First Contact Date</t>
  </si>
  <si>
    <t>Current Status</t>
  </si>
  <si>
    <t>DEAL-IN-2026-001</t>
  </si>
  <si>
    <t>PayKwik Technologies</t>
  </si>
  <si>
    <t>Bengaluru</t>
  </si>
  <si>
    <t>Fintech &amp; WealthTech</t>
  </si>
  <si>
    <t>Series B</t>
  </si>
  <si>
    <t>Anish Mehta</t>
  </si>
  <si>
    <t>4. Term Sheet Issued</t>
  </si>
  <si>
    <t>2026-01-10</t>
  </si>
  <si>
    <t>ACTIVE</t>
  </si>
  <si>
    <t>DEAL-IN-2026-002</t>
  </si>
  <si>
    <t>CureDiagnostics AI</t>
  </si>
  <si>
    <t>Hyderabad</t>
  </si>
  <si>
    <t>HealthTech &amp; Diagnostics</t>
  </si>
  <si>
    <t>Series A</t>
  </si>
  <si>
    <t>Priya Nair</t>
  </si>
  <si>
    <t>3. IC Memo &amp; Due Diligence</t>
  </si>
  <si>
    <t>2026-01-18</t>
  </si>
  <si>
    <t>DEAL-IN-2026-003</t>
  </si>
  <si>
    <t>LogiVolt EV Mobility</t>
  </si>
  <si>
    <t>Pune</t>
  </si>
  <si>
    <t>EV Supply Chain &amp; Logistics</t>
  </si>
  <si>
    <t>Vikramaditya Rao</t>
  </si>
  <si>
    <t>5. Definitive Documentation / Legal</t>
  </si>
  <si>
    <t>2026-01-05</t>
  </si>
  <si>
    <t>DEAL-IN-2026-004</t>
  </si>
  <si>
    <t>OmniSaaS Global</t>
  </si>
  <si>
    <t>Chennai</t>
  </si>
  <si>
    <t>Enterprise SaaS &amp; AI</t>
  </si>
  <si>
    <t>Growth / Series C</t>
  </si>
  <si>
    <t>Siddharth Verma</t>
  </si>
  <si>
    <t>6. Closed / Portfolio Funded</t>
  </si>
  <si>
    <t>2025-11-20</t>
  </si>
  <si>
    <t>CLOSED</t>
  </si>
  <si>
    <t>DEAL-IN-2026-005</t>
  </si>
  <si>
    <t>FarmFresh Direct</t>
  </si>
  <si>
    <t>Gurugram</t>
  </si>
  <si>
    <t>AgriTech &amp; ClimateTech</t>
  </si>
  <si>
    <t>Pre-Series A</t>
  </si>
  <si>
    <t>2. First Call / Management Pitch</t>
  </si>
  <si>
    <t>2026-02-01</t>
  </si>
  <si>
    <t>DEAL-IN-2026-006</t>
  </si>
  <si>
    <t>UrbanGlow D2C</t>
  </si>
  <si>
    <t>Mumbai</t>
  </si>
  <si>
    <t>Consumer D2C &amp; Retail</t>
  </si>
  <si>
    <t>Kavita Sharma</t>
  </si>
  <si>
    <t>7. Passed / Rejected</t>
  </si>
  <si>
    <t>2026-01-12</t>
  </si>
  <si>
    <t>REJECTED</t>
  </si>
  <si>
    <t>DEAL-IN-2026-007</t>
  </si>
  <si>
    <t>CrediShield Capital</t>
  </si>
  <si>
    <t>2026-02-05</t>
  </si>
  <si>
    <t>DEAL-IN-2026-008</t>
  </si>
  <si>
    <t>NeuraBio Health</t>
  </si>
  <si>
    <t>Seed</t>
  </si>
  <si>
    <t>1. Initial Sourcing / Lead Intake</t>
  </si>
  <si>
    <t>2026-02-12</t>
  </si>
  <si>
    <t>DEAL-IN-2026-009</t>
  </si>
  <si>
    <t>HyperCloud Analytics</t>
  </si>
  <si>
    <t>Noida (Delhi NCR)</t>
  </si>
  <si>
    <t>2026-01-25</t>
  </si>
  <si>
    <t>DEAL-IN-2026-010</t>
  </si>
  <si>
    <t>EcoCharge Network</t>
  </si>
  <si>
    <t>Ahmedabad</t>
  </si>
  <si>
    <t>2026-02-10</t>
  </si>
  <si>
    <t>DEAL VALUATION, DILUTION &amp; TERM SHEET ANALYTICS</t>
  </si>
  <si>
    <t>SECTOR PIPELINE SUMMARY ENGINE</t>
  </si>
  <si>
    <t>ARR / LTM Revenue (₹ Cr)</t>
  </si>
  <si>
    <t>Benchmark EV/Sales</t>
  </si>
  <si>
    <t>Implied Pre-Money Valuation (₹ Cr)</t>
  </si>
  <si>
    <t>Proposed Investment (₹ Cr)</t>
  </si>
  <si>
    <t>Post-Money Valuation (₹ Cr)</t>
  </si>
  <si>
    <t>Fund Equity Ownership %</t>
  </si>
  <si>
    <t>Target Investor IRR %</t>
  </si>
  <si>
    <t>Deal Count</t>
  </si>
  <si>
    <t>Total Target Capital Ask (₹ Cr)</t>
  </si>
  <si>
    <t>STAGE PIPELINE SUMMARY ENGINE</t>
  </si>
  <si>
    <t>Pipeline Stage</t>
  </si>
  <si>
    <t>Total Weighted Value (₹ Cr)</t>
  </si>
  <si>
    <t>SECTOR MULTIPLES &amp; STAGE PROBABILITY WEIGHTINGS (FY2026)</t>
  </si>
  <si>
    <t>Sector Code</t>
  </si>
  <si>
    <t>Target Sector Vertical</t>
  </si>
  <si>
    <t>Benchmark EV/EBITDA Multiple</t>
  </si>
  <si>
    <t>Benchmark EV/Sales Multiple</t>
  </si>
  <si>
    <t>SEC-FIN</t>
  </si>
  <si>
    <t>SEC-HC</t>
  </si>
  <si>
    <t>SEC-SAAS</t>
  </si>
  <si>
    <t>SEC-D2C</t>
  </si>
  <si>
    <t>SEC-LOG</t>
  </si>
  <si>
    <t>SEC-AGR</t>
  </si>
  <si>
    <t>DEAL STAGE CONVERSION PROBABILITY MATRIX</t>
  </si>
  <si>
    <t>Stage ID</t>
  </si>
  <si>
    <t>Deal Pipeline Stage</t>
  </si>
  <si>
    <t>Closure Probability %</t>
  </si>
  <si>
    <t>Average Target SLA (Days)</t>
  </si>
  <si>
    <t>STG-01</t>
  </si>
  <si>
    <t>STG-02</t>
  </si>
  <si>
    <t>STG-03</t>
  </si>
  <si>
    <t>STG-04</t>
  </si>
  <si>
    <t>STG-05</t>
  </si>
  <si>
    <t>STG-06</t>
  </si>
  <si>
    <t>STG-07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</si>
</sst>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&quot;x&quot;"/>
    <numFmt numFmtId="165" formatCode="0.0%"/>
    <numFmt numFmtId="166" formatCode="\₹\ #,##0.0&quot; Cr&quot;"/>
    <numFmt numFmtId="167" formatCode="\₹\ #,##0&quot; Cr&quot;"/>
  </numFmts>
  <fonts count="12">
    <font>
      <sz val="11"/>
      <color theme="1"/>
      <name val="Calibri"/>
      <family val="2"/>
      <scheme val="minor"/>
    </font>
    <font>
      <b/>
      <sz val="13"/>
      <color rgb="FF2C2C54"/>
      <name val="Calibri"/>
    </font>
    <font>
      <b/>
      <sz val="11"/>
      <color rgb="FFFFFFFF"/>
      <name val="Calibri"/>
    </font>
    <font>
      <sz val="11"/>
      <name val="Calibri"/>
    </font>
    <font>
      <b/>
      <sz val="9"/>
      <color rgb="FF555555"/>
      <name val="Calibri"/>
    </font>
    <font>
      <b/>
      <sz val="20"/>
      <color rgb="FF2C2C54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3"/>
      <color theme="0"/>
      <name val="Calibri"/>
      <family val="2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9F8FC"/>
        <bgColor rgb="FFF9F8FC"/>
      </patternFill>
    </fill>
    <fill>
      <patternFill patternType="solid">
        <fgColor rgb="FFF1F0F6"/>
        <bgColor rgb="FFF1F0F6"/>
      </patternFill>
    </fill>
    <fill>
      <patternFill patternType="solid">
        <fgColor rgb="FFFAFAFA"/>
        <bgColor rgb="FFFAFAFA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2C2C54"/>
      </patternFill>
    </fill>
  </fills>
  <borders count="4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2C2C54"/>
      </left>
      <right style="thin">
        <color rgb="FF2C2C54"/>
      </right>
      <top style="thin">
        <color rgb="FF2C2C54"/>
      </top>
      <bottom style="thin">
        <color rgb="FF2C2C54"/>
      </bottom>
      <diagonal/>
    </border>
    <border>
      <left/>
      <right/>
      <top style="thin">
        <color rgb="FFD1D1D1"/>
      </top>
      <bottom style="double">
        <color rgb="FF2C2C5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center"/>
    </xf>
    <xf numFmtId="166" fontId="6" fillId="0" borderId="3" xfId="0" applyNumberFormat="1" applyFont="1" applyBorder="1"/>
    <xf numFmtId="165" fontId="6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0" borderId="1" xfId="0" applyFont="1" applyBorder="1"/>
    <xf numFmtId="167" fontId="5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0" fillId="5" borderId="0" xfId="0" applyFill="1"/>
    <xf numFmtId="0" fontId="7" fillId="5" borderId="0" xfId="0" applyFont="1" applyFill="1"/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 indent="53"/>
    </xf>
    <xf numFmtId="0" fontId="7" fillId="5" borderId="0" xfId="0" applyFont="1" applyFill="1" applyAlignment="1">
      <alignment horizontal="left" vertical="center" indent="53"/>
    </xf>
    <xf numFmtId="0" fontId="11" fillId="7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 indent="57"/>
    </xf>
    <xf numFmtId="0" fontId="10" fillId="5" borderId="0" xfId="0" applyFont="1" applyFill="1"/>
    <xf numFmtId="0" fontId="10" fillId="6" borderId="0" xfId="0" applyFont="1" applyFill="1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left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0" fontId="10" fillId="5" borderId="0" xfId="0" applyFont="1" applyFill="1" applyAlignment="1">
      <alignment horizontal="left"/>
    </xf>
  </cellXfs>
  <cellStyles count="1">
    <cellStyle name="Normal" xfId="0" builtinId="0"/>
  </cellStyles>
  <dxfs count="3">
    <dxf>
      <font>
        <b/>
        <color rgb="FFC62828"/>
      </font>
      <fill>
        <patternFill patternType="solid">
          <fgColor rgb="FFFFEBEE"/>
        </patternFill>
      </fill>
    </dxf>
    <dxf>
      <font>
        <b/>
        <color rgb="FF1565C0"/>
      </font>
      <fill>
        <patternFill patternType="solid">
          <fgColor rgb="FFE3F2FD"/>
        </patternFill>
      </fill>
    </dxf>
    <dxf>
      <font>
        <b/>
        <color rgb="FF2E7D32"/>
      </font>
      <fill>
        <patternFill patternType="solid">
          <fgColor rgb="FFE8F5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Capital Allocation Ask by Sector (₹ Cr)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'Valuation &amp; Term Sheet Model'!$N$4</c:f>
              <c:strCache>
                <c:ptCount val="1"/>
                <c:pt idx="0">
                  <c:v>Total Target Capital Ask (₹ Cr)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'Valuation &amp; Term Sheet Model'!$L$5:$L$10</c:f>
              <c:strCache>
                <c:ptCount val="6"/>
                <c:pt idx="0">
                  <c:v>Fintech &amp; WealthTech</c:v>
                </c:pt>
                <c:pt idx="1">
                  <c:v>HealthTech &amp; Diagnostics</c:v>
                </c:pt>
                <c:pt idx="2">
                  <c:v>Enterprise SaaS &amp; AI</c:v>
                </c:pt>
                <c:pt idx="3">
                  <c:v>Consumer D2C &amp; Retail</c:v>
                </c:pt>
                <c:pt idx="4">
                  <c:v>EV Supply Chain &amp; Logistics</c:v>
                </c:pt>
                <c:pt idx="5">
                  <c:v>AgriTech &amp; ClimateTech</c:v>
                </c:pt>
              </c:strCache>
            </c:strRef>
          </c:cat>
          <c:val>
            <c:numRef>
              <c:f>'Valuation &amp; Term Sheet Model'!$N$5:$N$10</c:f>
              <c:numCache>
                <c:formatCode>\₹\ #,##0.0" Cr"</c:formatCode>
                <c:ptCount val="6"/>
                <c:pt idx="0">
                  <c:v>195</c:v>
                </c:pt>
                <c:pt idx="1">
                  <c:v>47</c:v>
                </c:pt>
                <c:pt idx="2">
                  <c:v>230</c:v>
                </c:pt>
                <c:pt idx="3">
                  <c:v>30</c:v>
                </c:pt>
                <c:pt idx="4">
                  <c:v>67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B-428E-96D9-A4D9BA44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Sector Vertical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Target Capital Ask (₹ Cr)</a:t>
                </a:r>
              </a:p>
            </c:rich>
          </c:tx>
          <c:overlay val="0"/>
        </c:title>
        <c:numFmt formatCode="\₹\ #,##0.0&quot; Cr&quot;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Weighted Expected Value by Pipeline Stage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'Valuation &amp; Term Sheet Model'!$M$15</c:f>
              <c:strCache>
                <c:ptCount val="1"/>
                <c:pt idx="0">
                  <c:v>Total Weighted Value (₹ Cr)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'Valuation &amp; Term Sheet Model'!$L$16:$L$22</c:f>
              <c:strCache>
                <c:ptCount val="7"/>
                <c:pt idx="0">
                  <c:v>1. Initial Sourcing / Lead Intake</c:v>
                </c:pt>
                <c:pt idx="1">
                  <c:v>2. First Call / Management Pitch</c:v>
                </c:pt>
                <c:pt idx="2">
                  <c:v>3. IC Memo &amp; Due Diligence</c:v>
                </c:pt>
                <c:pt idx="3">
                  <c:v>4. Term Sheet Issued</c:v>
                </c:pt>
                <c:pt idx="4">
                  <c:v>5. Definitive Documentation / Legal</c:v>
                </c:pt>
                <c:pt idx="5">
                  <c:v>6. Closed / Portfolio Funded</c:v>
                </c:pt>
                <c:pt idx="6">
                  <c:v>7. Passed / Rejected</c:v>
                </c:pt>
              </c:strCache>
            </c:strRef>
          </c:cat>
          <c:val>
            <c:numRef>
              <c:f>'Valuation &amp; Term Sheet Model'!$M$16:$M$22</c:f>
              <c:numCache>
                <c:formatCode>\₹\ #,##0.0" Cr"</c:formatCode>
                <c:ptCount val="7"/>
                <c:pt idx="0">
                  <c:v>1.2000000000000002</c:v>
                </c:pt>
                <c:pt idx="1">
                  <c:v>10</c:v>
                </c:pt>
                <c:pt idx="2">
                  <c:v>72.5</c:v>
                </c:pt>
                <c:pt idx="3">
                  <c:v>101.25</c:v>
                </c:pt>
                <c:pt idx="4">
                  <c:v>40.5</c:v>
                </c:pt>
                <c:pt idx="5">
                  <c:v>180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E-4270-AC9A-276F78D12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434340</xdr:colOff>
      <xdr:row>7</xdr:row>
      <xdr:rowOff>152400</xdr:rowOff>
    </xdr:from>
    <xdr:ext cx="4975860" cy="2705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914400</xdr:colOff>
      <xdr:row>8</xdr:row>
      <xdr:rowOff>0</xdr:rowOff>
    </xdr:from>
    <xdr:ext cx="4572000" cy="2667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topLeftCell="B1" workbookViewId="0">
      <selection activeCell="L15" sqref="L15"/>
    </sheetView>
  </sheetViews>
  <sheetFormatPr defaultRowHeight="14.4"/>
  <cols>
    <col min="1" max="1" width="3" customWidth="1"/>
    <col min="2" max="2" width="18" customWidth="1"/>
    <col min="3" max="4" width="16" customWidth="1"/>
    <col min="5" max="5" width="22" customWidth="1"/>
    <col min="6" max="9" width="18" customWidth="1"/>
    <col min="10" max="10" width="20" customWidth="1"/>
    <col min="11" max="12" width="16" customWidth="1"/>
  </cols>
  <sheetData>
    <row r="2" spans="2:13" ht="23.4"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>
      <c r="B3" s="28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2:13">
      <c r="B5" s="19" t="s">
        <v>2</v>
      </c>
      <c r="C5" s="18"/>
      <c r="E5" s="19" t="s">
        <v>3</v>
      </c>
      <c r="F5" s="18"/>
      <c r="H5" s="19" t="s">
        <v>4</v>
      </c>
      <c r="I5" s="18"/>
      <c r="K5" s="19" t="s">
        <v>5</v>
      </c>
      <c r="L5" s="18"/>
    </row>
    <row r="6" spans="2:13">
      <c r="B6" s="20">
        <f>COUNTIF('Deal Pipeline Master'!L4:L13, "ACTIVE")</f>
        <v>8</v>
      </c>
      <c r="C6" s="18"/>
      <c r="E6" s="17">
        <f>SUM('Deal Pipeline Master'!G4:G13)</f>
        <v>587</v>
      </c>
      <c r="F6" s="18"/>
      <c r="H6" s="17">
        <f>SUM('Deal Pipeline Master'!J4:J13)</f>
        <v>405.45</v>
      </c>
      <c r="I6" s="18"/>
      <c r="K6" s="21">
        <f>AVERAGE('Valuation &amp; Term Sheet Model'!J5:J15)</f>
        <v>0.29699999999999999</v>
      </c>
      <c r="L6" s="18"/>
    </row>
    <row r="7" spans="2:13">
      <c r="B7" s="18"/>
      <c r="C7" s="18"/>
      <c r="E7" s="18"/>
      <c r="F7" s="18"/>
      <c r="H7" s="18"/>
      <c r="I7" s="18"/>
      <c r="K7" s="18"/>
      <c r="L7" s="18"/>
    </row>
    <row r="25" spans="2:12" ht="17.399999999999999">
      <c r="B25" s="30" t="s">
        <v>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2:12" ht="17.399999999999999">
      <c r="B26" s="1"/>
    </row>
    <row r="27" spans="2:12">
      <c r="B27" s="31" t="s">
        <v>7</v>
      </c>
      <c r="C27" s="32" t="s">
        <v>8</v>
      </c>
      <c r="D27" s="24"/>
      <c r="E27" s="31" t="s">
        <v>9</v>
      </c>
      <c r="F27" s="31" t="s">
        <v>10</v>
      </c>
      <c r="G27" s="31" t="s">
        <v>11</v>
      </c>
      <c r="H27" s="32" t="s">
        <v>12</v>
      </c>
      <c r="I27" s="24"/>
      <c r="J27" s="31" t="s">
        <v>13</v>
      </c>
      <c r="K27" s="31" t="s">
        <v>14</v>
      </c>
      <c r="L27" s="31" t="s">
        <v>15</v>
      </c>
    </row>
    <row r="28" spans="2:12">
      <c r="B28" s="2" t="str">
        <f>'Deal Pipeline Master'!A4</f>
        <v>DEAL-IN-2026-001</v>
      </c>
      <c r="C28" s="16" t="str">
        <f>'Deal Pipeline Master'!B4</f>
        <v>PayKwik Technologies</v>
      </c>
      <c r="D28" s="16"/>
      <c r="E28" s="2" t="str">
        <f>'Deal Pipeline Master'!D4</f>
        <v>Fintech &amp; WealthTech</v>
      </c>
      <c r="F28" s="2" t="str">
        <f>'Deal Pipeline Master'!F4</f>
        <v>Anish Mehta</v>
      </c>
      <c r="G28" s="4">
        <f>'Deal Pipeline Master'!G4</f>
        <v>85</v>
      </c>
      <c r="H28" s="16" t="str">
        <f>'Deal Pipeline Master'!H4</f>
        <v>4. Term Sheet Issued</v>
      </c>
      <c r="I28" s="16"/>
      <c r="J28" s="4">
        <f>'Valuation &amp; Term Sheet Model'!H5</f>
        <v>377.5</v>
      </c>
      <c r="K28" s="5">
        <f>'Valuation &amp; Term Sheet Model'!I5</f>
        <v>0.2251655629139073</v>
      </c>
      <c r="L28" s="2" t="str">
        <f>'Deal Pipeline Master'!L4</f>
        <v>ACTIVE</v>
      </c>
    </row>
    <row r="29" spans="2:12">
      <c r="B29" s="6" t="str">
        <f>'Deal Pipeline Master'!A5</f>
        <v>DEAL-IN-2026-002</v>
      </c>
      <c r="C29" s="15" t="str">
        <f>'Deal Pipeline Master'!B5</f>
        <v>CureDiagnostics AI</v>
      </c>
      <c r="D29" s="15"/>
      <c r="E29" s="6" t="str">
        <f>'Deal Pipeline Master'!D5</f>
        <v>HealthTech &amp; Diagnostics</v>
      </c>
      <c r="F29" s="6" t="str">
        <f>'Deal Pipeline Master'!F5</f>
        <v>Priya Nair</v>
      </c>
      <c r="G29" s="8">
        <f>'Deal Pipeline Master'!G5</f>
        <v>35</v>
      </c>
      <c r="H29" s="15" t="str">
        <f>'Deal Pipeline Master'!H5</f>
        <v>3. IC Memo &amp; Due Diligence</v>
      </c>
      <c r="I29" s="15"/>
      <c r="J29" s="8">
        <f>'Valuation &amp; Term Sheet Model'!H6</f>
        <v>125</v>
      </c>
      <c r="K29" s="9">
        <f>'Valuation &amp; Term Sheet Model'!I6</f>
        <v>0.28000000000000003</v>
      </c>
      <c r="L29" s="6" t="str">
        <f>'Deal Pipeline Master'!L5</f>
        <v>ACTIVE</v>
      </c>
    </row>
    <row r="30" spans="2:12">
      <c r="B30" s="2" t="str">
        <f>'Deal Pipeline Master'!A6</f>
        <v>DEAL-IN-2026-003</v>
      </c>
      <c r="C30" s="16" t="str">
        <f>'Deal Pipeline Master'!B6</f>
        <v>LogiVolt EV Mobility</v>
      </c>
      <c r="D30" s="16"/>
      <c r="E30" s="2" t="str">
        <f>'Deal Pipeline Master'!D6</f>
        <v>EV Supply Chain &amp; Logistics</v>
      </c>
      <c r="F30" s="2" t="str">
        <f>'Deal Pipeline Master'!F6</f>
        <v>Vikramaditya Rao</v>
      </c>
      <c r="G30" s="4">
        <f>'Deal Pipeline Master'!G6</f>
        <v>45</v>
      </c>
      <c r="H30" s="16" t="str">
        <f>'Deal Pipeline Master'!H6</f>
        <v>5. Definitive Documentation / Legal</v>
      </c>
      <c r="I30" s="16"/>
      <c r="J30" s="4">
        <f>'Valuation &amp; Term Sheet Model'!H7</f>
        <v>125</v>
      </c>
      <c r="K30" s="5">
        <f>'Valuation &amp; Term Sheet Model'!I7</f>
        <v>0.36</v>
      </c>
      <c r="L30" s="2" t="str">
        <f>'Deal Pipeline Master'!L6</f>
        <v>ACTIVE</v>
      </c>
    </row>
    <row r="31" spans="2:12">
      <c r="B31" s="6" t="str">
        <f>'Deal Pipeline Master'!A7</f>
        <v>DEAL-IN-2026-004</v>
      </c>
      <c r="C31" s="15" t="str">
        <f>'Deal Pipeline Master'!B7</f>
        <v>OmniSaaS Global</v>
      </c>
      <c r="D31" s="15"/>
      <c r="E31" s="6" t="str">
        <f>'Deal Pipeline Master'!D7</f>
        <v>Enterprise SaaS &amp; AI</v>
      </c>
      <c r="F31" s="6" t="str">
        <f>'Deal Pipeline Master'!F7</f>
        <v>Siddharth Verma</v>
      </c>
      <c r="G31" s="8">
        <f>'Deal Pipeline Master'!G7</f>
        <v>180</v>
      </c>
      <c r="H31" s="15" t="str">
        <f>'Deal Pipeline Master'!H7</f>
        <v>6. Closed / Portfolio Funded</v>
      </c>
      <c r="I31" s="15"/>
      <c r="J31" s="8">
        <f>'Valuation &amp; Term Sheet Model'!H8</f>
        <v>987.5</v>
      </c>
      <c r="K31" s="9">
        <f>'Valuation &amp; Term Sheet Model'!I8</f>
        <v>0.18227848101265823</v>
      </c>
      <c r="L31" s="6" t="str">
        <f>'Deal Pipeline Master'!L7</f>
        <v>CLOSED</v>
      </c>
    </row>
    <row r="32" spans="2:12">
      <c r="B32" s="2" t="str">
        <f>'Deal Pipeline Master'!A8</f>
        <v>DEAL-IN-2026-005</v>
      </c>
      <c r="C32" s="16" t="str">
        <f>'Deal Pipeline Master'!B8</f>
        <v>FarmFresh Direct</v>
      </c>
      <c r="D32" s="16"/>
      <c r="E32" s="2" t="str">
        <f>'Deal Pipeline Master'!D8</f>
        <v>AgriTech &amp; ClimateTech</v>
      </c>
      <c r="F32" s="2" t="str">
        <f>'Deal Pipeline Master'!F8</f>
        <v>Anish Mehta</v>
      </c>
      <c r="G32" s="4">
        <f>'Deal Pipeline Master'!G8</f>
        <v>18</v>
      </c>
      <c r="H32" s="16" t="str">
        <f>'Deal Pipeline Master'!H8</f>
        <v>2. First Call / Management Pitch</v>
      </c>
      <c r="I32" s="16"/>
      <c r="J32" s="4">
        <f>'Valuation &amp; Term Sheet Model'!H9</f>
        <v>51.599999999999994</v>
      </c>
      <c r="K32" s="5">
        <f>'Valuation &amp; Term Sheet Model'!I9</f>
        <v>0.34883720930232565</v>
      </c>
      <c r="L32" s="2" t="str">
        <f>'Deal Pipeline Master'!L8</f>
        <v>ACTIVE</v>
      </c>
    </row>
    <row r="33" spans="2:12">
      <c r="B33" s="6" t="str">
        <f>'Deal Pipeline Master'!A9</f>
        <v>DEAL-IN-2026-006</v>
      </c>
      <c r="C33" s="15" t="str">
        <f>'Deal Pipeline Master'!B9</f>
        <v>UrbanGlow D2C</v>
      </c>
      <c r="D33" s="15"/>
      <c r="E33" s="6" t="str">
        <f>'Deal Pipeline Master'!D9</f>
        <v>Consumer D2C &amp; Retail</v>
      </c>
      <c r="F33" s="6" t="str">
        <f>'Deal Pipeline Master'!F9</f>
        <v>Kavita Sharma</v>
      </c>
      <c r="G33" s="8">
        <f>'Deal Pipeline Master'!G9</f>
        <v>30</v>
      </c>
      <c r="H33" s="15" t="str">
        <f>'Deal Pipeline Master'!H9</f>
        <v>7. Passed / Rejected</v>
      </c>
      <c r="I33" s="15"/>
      <c r="J33" s="8">
        <f>'Valuation &amp; Term Sheet Model'!H10</f>
        <v>80</v>
      </c>
      <c r="K33" s="9">
        <f>'Valuation &amp; Term Sheet Model'!I10</f>
        <v>0.375</v>
      </c>
      <c r="L33" s="6" t="str">
        <f>'Deal Pipeline Master'!L9</f>
        <v>REJECTED</v>
      </c>
    </row>
    <row r="34" spans="2:12">
      <c r="B34" s="2" t="str">
        <f>'Deal Pipeline Master'!A10</f>
        <v>DEAL-IN-2026-007</v>
      </c>
      <c r="C34" s="16" t="str">
        <f>'Deal Pipeline Master'!B10</f>
        <v>CrediShield Capital</v>
      </c>
      <c r="D34" s="16"/>
      <c r="E34" s="2" t="str">
        <f>'Deal Pipeline Master'!D10</f>
        <v>Fintech &amp; WealthTech</v>
      </c>
      <c r="F34" s="2" t="str">
        <f>'Deal Pipeline Master'!F10</f>
        <v>Priya Nair</v>
      </c>
      <c r="G34" s="4">
        <f>'Deal Pipeline Master'!G10</f>
        <v>110</v>
      </c>
      <c r="H34" s="16" t="str">
        <f>'Deal Pipeline Master'!H10</f>
        <v>3. IC Memo &amp; Due Diligence</v>
      </c>
      <c r="I34" s="16"/>
      <c r="J34" s="4">
        <f>'Valuation &amp; Term Sheet Model'!H11</f>
        <v>500</v>
      </c>
      <c r="K34" s="5">
        <f>'Valuation &amp; Term Sheet Model'!I11</f>
        <v>0.22</v>
      </c>
      <c r="L34" s="2" t="str">
        <f>'Deal Pipeline Master'!L10</f>
        <v>ACTIVE</v>
      </c>
    </row>
    <row r="35" spans="2:12">
      <c r="B35" s="6" t="str">
        <f>'Deal Pipeline Master'!A11</f>
        <v>DEAL-IN-2026-008</v>
      </c>
      <c r="C35" s="15" t="str">
        <f>'Deal Pipeline Master'!B11</f>
        <v>NeuraBio Health</v>
      </c>
      <c r="D35" s="15"/>
      <c r="E35" s="6" t="str">
        <f>'Deal Pipeline Master'!D11</f>
        <v>HealthTech &amp; Diagnostics</v>
      </c>
      <c r="F35" s="6" t="str">
        <f>'Deal Pipeline Master'!F11</f>
        <v>Siddharth Verma</v>
      </c>
      <c r="G35" s="8">
        <f>'Deal Pipeline Master'!G11</f>
        <v>12</v>
      </c>
      <c r="H35" s="15" t="str">
        <f>'Deal Pipeline Master'!H11</f>
        <v>1. Initial Sourcing / Lead Intake</v>
      </c>
      <c r="I35" s="15"/>
      <c r="J35" s="8">
        <f>'Valuation &amp; Term Sheet Model'!H12</f>
        <v>34.5</v>
      </c>
      <c r="K35" s="9">
        <f>'Valuation &amp; Term Sheet Model'!I12</f>
        <v>0.34782608695652173</v>
      </c>
      <c r="L35" s="6" t="str">
        <f>'Deal Pipeline Master'!L11</f>
        <v>ACTIVE</v>
      </c>
    </row>
    <row r="36" spans="2:12">
      <c r="B36" s="2" t="str">
        <f>'Deal Pipeline Master'!A12</f>
        <v>DEAL-IN-2026-009</v>
      </c>
      <c r="C36" s="16" t="str">
        <f>'Deal Pipeline Master'!B12</f>
        <v>HyperCloud Analytics</v>
      </c>
      <c r="D36" s="16"/>
      <c r="E36" s="2" t="str">
        <f>'Deal Pipeline Master'!D12</f>
        <v>Enterprise SaaS &amp; AI</v>
      </c>
      <c r="F36" s="2" t="str">
        <f>'Deal Pipeline Master'!F12</f>
        <v>Kavita Sharma</v>
      </c>
      <c r="G36" s="4">
        <f>'Deal Pipeline Master'!G12</f>
        <v>50</v>
      </c>
      <c r="H36" s="16" t="str">
        <f>'Deal Pipeline Master'!H12</f>
        <v>4. Term Sheet Issued</v>
      </c>
      <c r="I36" s="16"/>
      <c r="J36" s="4">
        <f>'Valuation &amp; Term Sheet Model'!H13</f>
        <v>288</v>
      </c>
      <c r="K36" s="5">
        <f>'Valuation &amp; Term Sheet Model'!I13</f>
        <v>0.1736111111111111</v>
      </c>
      <c r="L36" s="2" t="str">
        <f>'Deal Pipeline Master'!L12</f>
        <v>ACTIVE</v>
      </c>
    </row>
    <row r="37" spans="2:12">
      <c r="B37" s="6" t="str">
        <f>'Deal Pipeline Master'!A13</f>
        <v>DEAL-IN-2026-010</v>
      </c>
      <c r="C37" s="15" t="str">
        <f>'Deal Pipeline Master'!B13</f>
        <v>EcoCharge Network</v>
      </c>
      <c r="D37" s="15"/>
      <c r="E37" s="6" t="str">
        <f>'Deal Pipeline Master'!D13</f>
        <v>EV Supply Chain &amp; Logistics</v>
      </c>
      <c r="F37" s="6" t="str">
        <f>'Deal Pipeline Master'!F13</f>
        <v>Vikramaditya Rao</v>
      </c>
      <c r="G37" s="8">
        <f>'Deal Pipeline Master'!G13</f>
        <v>22</v>
      </c>
      <c r="H37" s="15" t="str">
        <f>'Deal Pipeline Master'!H13</f>
        <v>2. First Call / Management Pitch</v>
      </c>
      <c r="I37" s="15"/>
      <c r="J37" s="8">
        <f>'Valuation &amp; Term Sheet Model'!H15</f>
        <v>54</v>
      </c>
      <c r="K37" s="9">
        <f>'Valuation &amp; Term Sheet Model'!I15</f>
        <v>0.40740740740740738</v>
      </c>
      <c r="L37" s="6" t="str">
        <f>'Deal Pipeline Master'!L13</f>
        <v>ACTIVE</v>
      </c>
    </row>
    <row r="38" spans="2:12">
      <c r="B38" s="10" t="s">
        <v>16</v>
      </c>
      <c r="C38" s="23" t="s">
        <v>17</v>
      </c>
      <c r="D38" s="23"/>
      <c r="E38" s="10" t="s">
        <v>18</v>
      </c>
      <c r="F38" s="10" t="s">
        <v>19</v>
      </c>
      <c r="G38" s="11">
        <f>SUM(G28:G37)</f>
        <v>587</v>
      </c>
      <c r="H38" s="22" t="str">
        <f>"10 Opportunities Sourced"</f>
        <v>10 Opportunities Sourced</v>
      </c>
      <c r="I38" s="23"/>
      <c r="J38" s="11">
        <f>SUM(J28:J37)</f>
        <v>2623.1</v>
      </c>
      <c r="K38" s="12">
        <f>AVERAGE(K28:K37)</f>
        <v>0.29201258587039314</v>
      </c>
      <c r="L38" s="10" t="str">
        <f>"100% AUDITED"</f>
        <v>100% AUDITED</v>
      </c>
    </row>
  </sheetData>
  <mergeCells count="35">
    <mergeCell ref="H38:I38"/>
    <mergeCell ref="H29:I29"/>
    <mergeCell ref="H28:I28"/>
    <mergeCell ref="C33:D33"/>
    <mergeCell ref="B3:M3"/>
    <mergeCell ref="H6:I7"/>
    <mergeCell ref="B5:C5"/>
    <mergeCell ref="H34:I34"/>
    <mergeCell ref="C38:D38"/>
    <mergeCell ref="C29:D29"/>
    <mergeCell ref="H5:I5"/>
    <mergeCell ref="H31:I31"/>
    <mergeCell ref="H27:I27"/>
    <mergeCell ref="H37:I37"/>
    <mergeCell ref="C32:D32"/>
    <mergeCell ref="H33:I33"/>
    <mergeCell ref="K6:L7"/>
    <mergeCell ref="C28:D28"/>
    <mergeCell ref="C37:D37"/>
    <mergeCell ref="C35:D35"/>
    <mergeCell ref="B2:M2"/>
    <mergeCell ref="H36:I36"/>
    <mergeCell ref="C31:D31"/>
    <mergeCell ref="E6:F7"/>
    <mergeCell ref="H30:I30"/>
    <mergeCell ref="C34:D34"/>
    <mergeCell ref="B25:L25"/>
    <mergeCell ref="E5:F5"/>
    <mergeCell ref="K5:L5"/>
    <mergeCell ref="B6:C7"/>
    <mergeCell ref="H32:I32"/>
    <mergeCell ref="C27:D27"/>
    <mergeCell ref="C36:D36"/>
    <mergeCell ref="H35:I35"/>
    <mergeCell ref="C30:D30"/>
  </mergeCells>
  <conditionalFormatting sqref="L28:L37">
    <cfRule type="cellIs" dxfId="2" priority="1" operator="equal">
      <formula>"ACTIVE"</formula>
    </cfRule>
    <cfRule type="cellIs" dxfId="1" priority="2" operator="equal">
      <formula>"CLOSED"</formula>
    </cfRule>
    <cfRule type="cellIs" dxfId="0" priority="3" operator="equal">
      <formula>"REJECTED"</formula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opLeftCell="J1" workbookViewId="0">
      <pane ySplit="3" topLeftCell="A4" activePane="bottomLeft" state="frozen"/>
      <selection pane="bottomLeft" activeCell="A3" sqref="A3:L3"/>
    </sheetView>
  </sheetViews>
  <sheetFormatPr defaultRowHeight="14.4"/>
  <cols>
    <col min="1" max="1" width="59" customWidth="1"/>
    <col min="2" max="2" width="24" customWidth="1"/>
    <col min="3" max="3" width="21" customWidth="1"/>
    <col min="4" max="4" width="31" customWidth="1"/>
    <col min="5" max="5" width="27" customWidth="1"/>
    <col min="6" max="7" width="21" customWidth="1"/>
    <col min="8" max="8" width="39" customWidth="1"/>
    <col min="9" max="9" width="64" customWidth="1"/>
    <col min="10" max="10" width="34" customWidth="1"/>
    <col min="11" max="11" width="22" customWidth="1"/>
    <col min="12" max="12" width="18" customWidth="1"/>
  </cols>
  <sheetData>
    <row r="1" spans="1:12" ht="17.399999999999999">
      <c r="A1" s="33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3" spans="1:12">
      <c r="A3" s="35" t="s">
        <v>7</v>
      </c>
      <c r="B3" s="35" t="s">
        <v>8</v>
      </c>
      <c r="C3" s="35" t="s">
        <v>21</v>
      </c>
      <c r="D3" s="35" t="s">
        <v>9</v>
      </c>
      <c r="E3" s="35" t="s">
        <v>22</v>
      </c>
      <c r="F3" s="35" t="s">
        <v>23</v>
      </c>
      <c r="G3" s="35" t="s">
        <v>11</v>
      </c>
      <c r="H3" s="35" t="s">
        <v>24</v>
      </c>
      <c r="I3" s="35" t="s">
        <v>25</v>
      </c>
      <c r="J3" s="35" t="s">
        <v>26</v>
      </c>
      <c r="K3" s="35" t="s">
        <v>27</v>
      </c>
      <c r="L3" s="35" t="s">
        <v>28</v>
      </c>
    </row>
    <row r="4" spans="1:12">
      <c r="A4" s="2" t="s">
        <v>29</v>
      </c>
      <c r="B4" s="3" t="s">
        <v>30</v>
      </c>
      <c r="C4" s="2" t="s">
        <v>31</v>
      </c>
      <c r="D4" s="3" t="s">
        <v>32</v>
      </c>
      <c r="E4" s="2" t="s">
        <v>33</v>
      </c>
      <c r="F4" s="3" t="s">
        <v>34</v>
      </c>
      <c r="G4" s="4">
        <v>85</v>
      </c>
      <c r="H4" s="2" t="s">
        <v>35</v>
      </c>
      <c r="I4" s="5">
        <f>VLOOKUP(H4, 'Sector &amp; Stage Matrix'!$B$15:$C$21, 2, FALSE)</f>
        <v>0.75</v>
      </c>
      <c r="J4" s="4">
        <f t="shared" ref="J4:J13" si="0">G4*I4</f>
        <v>63.75</v>
      </c>
      <c r="K4" s="2" t="s">
        <v>36</v>
      </c>
      <c r="L4" s="2" t="s">
        <v>37</v>
      </c>
    </row>
    <row r="5" spans="1:12">
      <c r="A5" s="6" t="s">
        <v>38</v>
      </c>
      <c r="B5" s="7" t="s">
        <v>39</v>
      </c>
      <c r="C5" s="6" t="s">
        <v>40</v>
      </c>
      <c r="D5" s="7" t="s">
        <v>41</v>
      </c>
      <c r="E5" s="6" t="s">
        <v>42</v>
      </c>
      <c r="F5" s="7" t="s">
        <v>43</v>
      </c>
      <c r="G5" s="8">
        <v>35</v>
      </c>
      <c r="H5" s="6" t="s">
        <v>44</v>
      </c>
      <c r="I5" s="9">
        <f>VLOOKUP(H5, 'Sector &amp; Stage Matrix'!$B$15:$C$21, 2, FALSE)</f>
        <v>0.5</v>
      </c>
      <c r="J5" s="8">
        <f t="shared" si="0"/>
        <v>17.5</v>
      </c>
      <c r="K5" s="6" t="s">
        <v>45</v>
      </c>
      <c r="L5" s="6" t="s">
        <v>37</v>
      </c>
    </row>
    <row r="6" spans="1:12">
      <c r="A6" s="2" t="s">
        <v>46</v>
      </c>
      <c r="B6" s="3" t="s">
        <v>47</v>
      </c>
      <c r="C6" s="2" t="s">
        <v>48</v>
      </c>
      <c r="D6" s="3" t="s">
        <v>49</v>
      </c>
      <c r="E6" s="2" t="s">
        <v>42</v>
      </c>
      <c r="F6" s="3" t="s">
        <v>50</v>
      </c>
      <c r="G6" s="4">
        <v>45</v>
      </c>
      <c r="H6" s="2" t="s">
        <v>51</v>
      </c>
      <c r="I6" s="5">
        <f>VLOOKUP(H6, 'Sector &amp; Stage Matrix'!$B$15:$C$21, 2, FALSE)</f>
        <v>0.9</v>
      </c>
      <c r="J6" s="4">
        <f t="shared" si="0"/>
        <v>40.5</v>
      </c>
      <c r="K6" s="2" t="s">
        <v>52</v>
      </c>
      <c r="L6" s="2" t="s">
        <v>37</v>
      </c>
    </row>
    <row r="7" spans="1:12">
      <c r="A7" s="6" t="s">
        <v>53</v>
      </c>
      <c r="B7" s="7" t="s">
        <v>54</v>
      </c>
      <c r="C7" s="6" t="s">
        <v>55</v>
      </c>
      <c r="D7" s="7" t="s">
        <v>56</v>
      </c>
      <c r="E7" s="6" t="s">
        <v>57</v>
      </c>
      <c r="F7" s="7" t="s">
        <v>58</v>
      </c>
      <c r="G7" s="8">
        <v>180</v>
      </c>
      <c r="H7" s="6" t="s">
        <v>59</v>
      </c>
      <c r="I7" s="9">
        <f>VLOOKUP(H7, 'Sector &amp; Stage Matrix'!$B$15:$C$21, 2, FALSE)</f>
        <v>1</v>
      </c>
      <c r="J7" s="8">
        <f t="shared" si="0"/>
        <v>180</v>
      </c>
      <c r="K7" s="6" t="s">
        <v>60</v>
      </c>
      <c r="L7" s="6" t="s">
        <v>61</v>
      </c>
    </row>
    <row r="8" spans="1:12">
      <c r="A8" s="2" t="s">
        <v>62</v>
      </c>
      <c r="B8" s="3" t="s">
        <v>63</v>
      </c>
      <c r="C8" s="2" t="s">
        <v>64</v>
      </c>
      <c r="D8" s="3" t="s">
        <v>65</v>
      </c>
      <c r="E8" s="2" t="s">
        <v>66</v>
      </c>
      <c r="F8" s="3" t="s">
        <v>34</v>
      </c>
      <c r="G8" s="4">
        <v>18</v>
      </c>
      <c r="H8" s="2" t="s">
        <v>67</v>
      </c>
      <c r="I8" s="5">
        <f>VLOOKUP(H8, 'Sector &amp; Stage Matrix'!$B$15:$C$21, 2, FALSE)</f>
        <v>0.25</v>
      </c>
      <c r="J8" s="4">
        <f t="shared" si="0"/>
        <v>4.5</v>
      </c>
      <c r="K8" s="2" t="s">
        <v>68</v>
      </c>
      <c r="L8" s="2" t="s">
        <v>37</v>
      </c>
    </row>
    <row r="9" spans="1:12">
      <c r="A9" s="6" t="s">
        <v>69</v>
      </c>
      <c r="B9" s="7" t="s">
        <v>70</v>
      </c>
      <c r="C9" s="6" t="s">
        <v>71</v>
      </c>
      <c r="D9" s="7" t="s">
        <v>72</v>
      </c>
      <c r="E9" s="6" t="s">
        <v>42</v>
      </c>
      <c r="F9" s="7" t="s">
        <v>73</v>
      </c>
      <c r="G9" s="8">
        <v>30</v>
      </c>
      <c r="H9" s="6" t="s">
        <v>74</v>
      </c>
      <c r="I9" s="9">
        <f>VLOOKUP(H9, 'Sector &amp; Stage Matrix'!$B$15:$C$21, 2, FALSE)</f>
        <v>0</v>
      </c>
      <c r="J9" s="8">
        <f t="shared" si="0"/>
        <v>0</v>
      </c>
      <c r="K9" s="6" t="s">
        <v>75</v>
      </c>
      <c r="L9" s="6" t="s">
        <v>76</v>
      </c>
    </row>
    <row r="10" spans="1:12">
      <c r="A10" s="2" t="s">
        <v>77</v>
      </c>
      <c r="B10" s="3" t="s">
        <v>78</v>
      </c>
      <c r="C10" s="2" t="s">
        <v>71</v>
      </c>
      <c r="D10" s="3" t="s">
        <v>32</v>
      </c>
      <c r="E10" s="2" t="s">
        <v>33</v>
      </c>
      <c r="F10" s="3" t="s">
        <v>43</v>
      </c>
      <c r="G10" s="4">
        <v>110</v>
      </c>
      <c r="H10" s="2" t="s">
        <v>44</v>
      </c>
      <c r="I10" s="5">
        <f>VLOOKUP(H10, 'Sector &amp; Stage Matrix'!$B$15:$C$21, 2, FALSE)</f>
        <v>0.5</v>
      </c>
      <c r="J10" s="4">
        <f t="shared" si="0"/>
        <v>55</v>
      </c>
      <c r="K10" s="2" t="s">
        <v>79</v>
      </c>
      <c r="L10" s="2" t="s">
        <v>37</v>
      </c>
    </row>
    <row r="11" spans="1:12">
      <c r="A11" s="6" t="s">
        <v>80</v>
      </c>
      <c r="B11" s="7" t="s">
        <v>81</v>
      </c>
      <c r="C11" s="6" t="s">
        <v>31</v>
      </c>
      <c r="D11" s="7" t="s">
        <v>41</v>
      </c>
      <c r="E11" s="6" t="s">
        <v>82</v>
      </c>
      <c r="F11" s="7" t="s">
        <v>58</v>
      </c>
      <c r="G11" s="8">
        <v>12</v>
      </c>
      <c r="H11" s="6" t="s">
        <v>83</v>
      </c>
      <c r="I11" s="9">
        <f>VLOOKUP(H11, 'Sector &amp; Stage Matrix'!$B$15:$C$21, 2, FALSE)</f>
        <v>0.1</v>
      </c>
      <c r="J11" s="8">
        <f t="shared" si="0"/>
        <v>1.2000000000000002</v>
      </c>
      <c r="K11" s="6" t="s">
        <v>84</v>
      </c>
      <c r="L11" s="6" t="s">
        <v>37</v>
      </c>
    </row>
    <row r="12" spans="1:12">
      <c r="A12" s="2" t="s">
        <v>85</v>
      </c>
      <c r="B12" s="3" t="s">
        <v>86</v>
      </c>
      <c r="C12" s="2" t="s">
        <v>87</v>
      </c>
      <c r="D12" s="3" t="s">
        <v>56</v>
      </c>
      <c r="E12" s="2" t="s">
        <v>42</v>
      </c>
      <c r="F12" s="3" t="s">
        <v>73</v>
      </c>
      <c r="G12" s="4">
        <v>50</v>
      </c>
      <c r="H12" s="2" t="s">
        <v>35</v>
      </c>
      <c r="I12" s="5">
        <f>VLOOKUP(H12, 'Sector &amp; Stage Matrix'!$B$15:$C$21, 2, FALSE)</f>
        <v>0.75</v>
      </c>
      <c r="J12" s="4">
        <f t="shared" si="0"/>
        <v>37.5</v>
      </c>
      <c r="K12" s="2" t="s">
        <v>88</v>
      </c>
      <c r="L12" s="2" t="s">
        <v>37</v>
      </c>
    </row>
    <row r="13" spans="1:12">
      <c r="A13" s="6" t="s">
        <v>89</v>
      </c>
      <c r="B13" s="7" t="s">
        <v>90</v>
      </c>
      <c r="C13" s="6" t="s">
        <v>91</v>
      </c>
      <c r="D13" s="7" t="s">
        <v>49</v>
      </c>
      <c r="E13" s="6" t="s">
        <v>66</v>
      </c>
      <c r="F13" s="7" t="s">
        <v>50</v>
      </c>
      <c r="G13" s="8">
        <v>22</v>
      </c>
      <c r="H13" s="6" t="s">
        <v>67</v>
      </c>
      <c r="I13" s="9">
        <f>VLOOKUP(H13, 'Sector &amp; Stage Matrix'!$B$15:$C$21, 2, FALSE)</f>
        <v>0.25</v>
      </c>
      <c r="J13" s="8">
        <f t="shared" si="0"/>
        <v>5.5</v>
      </c>
      <c r="K13" s="6" t="s">
        <v>92</v>
      </c>
      <c r="L13" s="6" t="s">
        <v>37</v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topLeftCell="H1" workbookViewId="0">
      <selection activeCell="L16" sqref="L16:M22"/>
    </sheetView>
  </sheetViews>
  <sheetFormatPr defaultRowHeight="14.4"/>
  <cols>
    <col min="1" max="1" width="51" customWidth="1"/>
    <col min="2" max="2" width="24" customWidth="1"/>
    <col min="3" max="3" width="31" customWidth="1"/>
    <col min="4" max="4" width="28" customWidth="1"/>
    <col min="5" max="5" width="62" customWidth="1"/>
    <col min="6" max="6" width="38" customWidth="1"/>
    <col min="7" max="7" width="30" customWidth="1"/>
    <col min="8" max="8" width="31" customWidth="1"/>
    <col min="9" max="9" width="27" customWidth="1"/>
    <col min="10" max="10" width="25" customWidth="1"/>
    <col min="11" max="11" width="12" customWidth="1"/>
    <col min="12" max="12" width="39" customWidth="1"/>
    <col min="13" max="13" width="85" customWidth="1"/>
    <col min="14" max="14" width="84" customWidth="1"/>
  </cols>
  <sheetData>
    <row r="1" spans="1:14" ht="17.399999999999999">
      <c r="A1" s="36" t="s">
        <v>93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7.399999999999999">
      <c r="L2" s="37" t="s">
        <v>94</v>
      </c>
    </row>
    <row r="3" spans="1:14" ht="17.399999999999999">
      <c r="L3" s="38"/>
    </row>
    <row r="4" spans="1:14">
      <c r="A4" s="47" t="s">
        <v>7</v>
      </c>
      <c r="B4" s="47" t="s">
        <v>8</v>
      </c>
      <c r="C4" s="47" t="s">
        <v>9</v>
      </c>
      <c r="D4" s="47" t="s">
        <v>95</v>
      </c>
      <c r="E4" s="47" t="s">
        <v>96</v>
      </c>
      <c r="F4" s="47" t="s">
        <v>97</v>
      </c>
      <c r="G4" s="47" t="s">
        <v>98</v>
      </c>
      <c r="H4" s="47" t="s">
        <v>99</v>
      </c>
      <c r="I4" s="47" t="s">
        <v>100</v>
      </c>
      <c r="J4" s="47" t="s">
        <v>101</v>
      </c>
      <c r="L4" s="48" t="s">
        <v>9</v>
      </c>
      <c r="M4" s="48" t="s">
        <v>102</v>
      </c>
      <c r="N4" s="48" t="s">
        <v>103</v>
      </c>
    </row>
    <row r="5" spans="1:14">
      <c r="A5" s="39" t="s">
        <v>29</v>
      </c>
      <c r="B5" s="39" t="s">
        <v>30</v>
      </c>
      <c r="C5" s="39" t="s">
        <v>32</v>
      </c>
      <c r="D5" s="40">
        <v>45</v>
      </c>
      <c r="E5" s="41">
        <f>VLOOKUP(C5, 'Sector &amp; Stage Matrix'!$B$4:$D$9, 3, FALSE)</f>
        <v>6.5</v>
      </c>
      <c r="F5" s="40">
        <f t="shared" ref="F5:F15" si="0">D5*E5</f>
        <v>292.5</v>
      </c>
      <c r="G5" s="40">
        <v>85</v>
      </c>
      <c r="H5" s="40">
        <f t="shared" ref="H5:H15" si="1">F5+G5</f>
        <v>377.5</v>
      </c>
      <c r="I5" s="42">
        <f t="shared" ref="I5:I15" si="2">G5/H5</f>
        <v>0.2251655629139073</v>
      </c>
      <c r="J5" s="42">
        <v>0.28000000000000003</v>
      </c>
      <c r="L5" s="49" t="s">
        <v>32</v>
      </c>
      <c r="M5" s="49">
        <f>COUNTIF('Deal Pipeline Master'!$D$4:$D$13, L5)</f>
        <v>2</v>
      </c>
      <c r="N5" s="50">
        <f>SUMIF('Deal Pipeline Master'!$D$4:$D$13, L5, 'Deal Pipeline Master'!$G$4:$G$13)</f>
        <v>195</v>
      </c>
    </row>
    <row r="6" spans="1:14">
      <c r="A6" s="43" t="s">
        <v>38</v>
      </c>
      <c r="B6" s="43" t="s">
        <v>39</v>
      </c>
      <c r="C6" s="43" t="s">
        <v>41</v>
      </c>
      <c r="D6" s="44">
        <v>18</v>
      </c>
      <c r="E6" s="45">
        <f>VLOOKUP(C6, 'Sector &amp; Stage Matrix'!$B$4:$D$9, 3, FALSE)</f>
        <v>5</v>
      </c>
      <c r="F6" s="44">
        <f t="shared" si="0"/>
        <v>90</v>
      </c>
      <c r="G6" s="44">
        <v>35</v>
      </c>
      <c r="H6" s="44">
        <f t="shared" si="1"/>
        <v>125</v>
      </c>
      <c r="I6" s="46">
        <f t="shared" si="2"/>
        <v>0.28000000000000003</v>
      </c>
      <c r="J6" s="46">
        <v>0.32</v>
      </c>
      <c r="L6" s="49" t="s">
        <v>41</v>
      </c>
      <c r="M6" s="49">
        <f>COUNTIF('Deal Pipeline Master'!$D$4:$D$13, L6)</f>
        <v>2</v>
      </c>
      <c r="N6" s="50">
        <f>SUMIF('Deal Pipeline Master'!$D$4:$D$13, L6, 'Deal Pipeline Master'!$G$4:$G$13)</f>
        <v>47</v>
      </c>
    </row>
    <row r="7" spans="1:14">
      <c r="A7" s="39" t="s">
        <v>46</v>
      </c>
      <c r="B7" s="39" t="s">
        <v>47</v>
      </c>
      <c r="C7" s="39" t="s">
        <v>49</v>
      </c>
      <c r="D7" s="40">
        <v>25</v>
      </c>
      <c r="E7" s="41">
        <f>VLOOKUP(C7, 'Sector &amp; Stage Matrix'!$B$4:$D$9, 3, FALSE)</f>
        <v>3.2</v>
      </c>
      <c r="F7" s="40">
        <f t="shared" si="0"/>
        <v>80</v>
      </c>
      <c r="G7" s="40">
        <v>45</v>
      </c>
      <c r="H7" s="40">
        <f t="shared" si="1"/>
        <v>125</v>
      </c>
      <c r="I7" s="42">
        <f t="shared" si="2"/>
        <v>0.36</v>
      </c>
      <c r="J7" s="42">
        <v>0.3</v>
      </c>
      <c r="L7" s="49" t="s">
        <v>56</v>
      </c>
      <c r="M7" s="49">
        <f>COUNTIF('Deal Pipeline Master'!$D$4:$D$13, L7)</f>
        <v>2</v>
      </c>
      <c r="N7" s="50">
        <f>SUMIF('Deal Pipeline Master'!$D$4:$D$13, L7, 'Deal Pipeline Master'!$G$4:$G$13)</f>
        <v>230</v>
      </c>
    </row>
    <row r="8" spans="1:14">
      <c r="A8" s="43" t="s">
        <v>53</v>
      </c>
      <c r="B8" s="43" t="s">
        <v>54</v>
      </c>
      <c r="C8" s="43" t="s">
        <v>56</v>
      </c>
      <c r="D8" s="44">
        <v>95</v>
      </c>
      <c r="E8" s="45">
        <f>VLOOKUP(C8, 'Sector &amp; Stage Matrix'!$B$4:$D$9, 3, FALSE)</f>
        <v>8.5</v>
      </c>
      <c r="F8" s="44">
        <f t="shared" si="0"/>
        <v>807.5</v>
      </c>
      <c r="G8" s="44">
        <v>180</v>
      </c>
      <c r="H8" s="44">
        <f t="shared" si="1"/>
        <v>987.5</v>
      </c>
      <c r="I8" s="46">
        <f t="shared" si="2"/>
        <v>0.18227848101265823</v>
      </c>
      <c r="J8" s="46">
        <v>0.25</v>
      </c>
      <c r="L8" s="49" t="s">
        <v>72</v>
      </c>
      <c r="M8" s="49">
        <f>COUNTIF('Deal Pipeline Master'!$D$4:$D$13, L8)</f>
        <v>1</v>
      </c>
      <c r="N8" s="50">
        <f>SUMIF('Deal Pipeline Master'!$D$4:$D$13, L8, 'Deal Pipeline Master'!$G$4:$G$13)</f>
        <v>30</v>
      </c>
    </row>
    <row r="9" spans="1:14">
      <c r="A9" s="39" t="s">
        <v>62</v>
      </c>
      <c r="B9" s="39" t="s">
        <v>63</v>
      </c>
      <c r="C9" s="39" t="s">
        <v>65</v>
      </c>
      <c r="D9" s="40">
        <v>12</v>
      </c>
      <c r="E9" s="41">
        <f>VLOOKUP(C9, 'Sector &amp; Stage Matrix'!$B$4:$D$9, 3, FALSE)</f>
        <v>2.8</v>
      </c>
      <c r="F9" s="40">
        <f t="shared" si="0"/>
        <v>33.599999999999994</v>
      </c>
      <c r="G9" s="40">
        <v>18</v>
      </c>
      <c r="H9" s="40">
        <f t="shared" si="1"/>
        <v>51.599999999999994</v>
      </c>
      <c r="I9" s="42">
        <f t="shared" si="2"/>
        <v>0.34883720930232565</v>
      </c>
      <c r="J9" s="42">
        <v>0.35</v>
      </c>
      <c r="L9" s="49" t="s">
        <v>49</v>
      </c>
      <c r="M9" s="49">
        <f>COUNTIF('Deal Pipeline Master'!$D$4:$D$13, L9)</f>
        <v>2</v>
      </c>
      <c r="N9" s="50">
        <f>SUMIF('Deal Pipeline Master'!$D$4:$D$13, L9, 'Deal Pipeline Master'!$G$4:$G$13)</f>
        <v>67</v>
      </c>
    </row>
    <row r="10" spans="1:14">
      <c r="A10" s="43" t="s">
        <v>69</v>
      </c>
      <c r="B10" s="43" t="s">
        <v>70</v>
      </c>
      <c r="C10" s="43" t="s">
        <v>72</v>
      </c>
      <c r="D10" s="44">
        <v>20</v>
      </c>
      <c r="E10" s="45">
        <f>VLOOKUP(C10, 'Sector &amp; Stage Matrix'!$B$4:$D$9, 3, FALSE)</f>
        <v>2.5</v>
      </c>
      <c r="F10" s="44">
        <f t="shared" si="0"/>
        <v>50</v>
      </c>
      <c r="G10" s="44">
        <v>30</v>
      </c>
      <c r="H10" s="44">
        <f t="shared" si="1"/>
        <v>80</v>
      </c>
      <c r="I10" s="46">
        <f t="shared" si="2"/>
        <v>0.375</v>
      </c>
      <c r="J10" s="46">
        <v>0.22</v>
      </c>
      <c r="L10" s="49" t="s">
        <v>65</v>
      </c>
      <c r="M10" s="49">
        <f>COUNTIF('Deal Pipeline Master'!$D$4:$D$13, L10)</f>
        <v>1</v>
      </c>
      <c r="N10" s="50">
        <f>SUMIF('Deal Pipeline Master'!$D$4:$D$13, L10, 'Deal Pipeline Master'!$G$4:$G$13)</f>
        <v>18</v>
      </c>
    </row>
    <row r="11" spans="1:14">
      <c r="A11" s="39" t="s">
        <v>77</v>
      </c>
      <c r="B11" s="39" t="s">
        <v>78</v>
      </c>
      <c r="C11" s="39" t="s">
        <v>32</v>
      </c>
      <c r="D11" s="40">
        <v>60</v>
      </c>
      <c r="E11" s="41">
        <f>VLOOKUP(C11, 'Sector &amp; Stage Matrix'!$B$4:$D$9, 3, FALSE)</f>
        <v>6.5</v>
      </c>
      <c r="F11" s="40">
        <f t="shared" si="0"/>
        <v>390</v>
      </c>
      <c r="G11" s="40">
        <v>110</v>
      </c>
      <c r="H11" s="40">
        <f t="shared" si="1"/>
        <v>500</v>
      </c>
      <c r="I11" s="42">
        <f t="shared" si="2"/>
        <v>0.22</v>
      </c>
      <c r="J11" s="42">
        <v>0.28000000000000003</v>
      </c>
    </row>
    <row r="12" spans="1:14">
      <c r="A12" s="43" t="s">
        <v>80</v>
      </c>
      <c r="B12" s="43" t="s">
        <v>81</v>
      </c>
      <c r="C12" s="43" t="s">
        <v>41</v>
      </c>
      <c r="D12" s="44">
        <v>4.5</v>
      </c>
      <c r="E12" s="45">
        <f>VLOOKUP(C12, 'Sector &amp; Stage Matrix'!$B$4:$D$9, 3, FALSE)</f>
        <v>5</v>
      </c>
      <c r="F12" s="44">
        <f t="shared" si="0"/>
        <v>22.5</v>
      </c>
      <c r="G12" s="44">
        <v>12</v>
      </c>
      <c r="H12" s="44">
        <f t="shared" si="1"/>
        <v>34.5</v>
      </c>
      <c r="I12" s="46">
        <f t="shared" si="2"/>
        <v>0.34782608695652173</v>
      </c>
      <c r="J12" s="46">
        <v>0.35</v>
      </c>
    </row>
    <row r="13" spans="1:14" ht="17.399999999999999">
      <c r="A13" s="39" t="s">
        <v>85</v>
      </c>
      <c r="B13" s="39" t="s">
        <v>86</v>
      </c>
      <c r="C13" s="39" t="s">
        <v>56</v>
      </c>
      <c r="D13" s="40">
        <v>28</v>
      </c>
      <c r="E13" s="41">
        <f>VLOOKUP(C13, 'Sector &amp; Stage Matrix'!$B$4:$D$9, 3, FALSE)</f>
        <v>8.5</v>
      </c>
      <c r="F13" s="40">
        <f t="shared" si="0"/>
        <v>238</v>
      </c>
      <c r="G13" s="40">
        <v>50</v>
      </c>
      <c r="H13" s="40">
        <f t="shared" si="1"/>
        <v>288</v>
      </c>
      <c r="I13" s="42">
        <f t="shared" si="2"/>
        <v>0.1736111111111111</v>
      </c>
      <c r="J13" s="42">
        <v>0.3</v>
      </c>
      <c r="L13" s="37" t="s">
        <v>104</v>
      </c>
    </row>
    <row r="14" spans="1:14" ht="17.399999999999999">
      <c r="A14" s="39"/>
      <c r="B14" s="39"/>
      <c r="C14" s="39"/>
      <c r="D14" s="40"/>
      <c r="E14" s="41"/>
      <c r="F14" s="40"/>
      <c r="G14" s="40"/>
      <c r="H14" s="40"/>
      <c r="I14" s="42"/>
      <c r="J14" s="42"/>
      <c r="L14" s="38"/>
    </row>
    <row r="15" spans="1:14">
      <c r="A15" s="43" t="s">
        <v>89</v>
      </c>
      <c r="B15" s="43" t="s">
        <v>90</v>
      </c>
      <c r="C15" s="43" t="s">
        <v>49</v>
      </c>
      <c r="D15" s="44">
        <v>10</v>
      </c>
      <c r="E15" s="45">
        <f>VLOOKUP(C15, 'Sector &amp; Stage Matrix'!$B$4:$D$9, 3, FALSE)</f>
        <v>3.2</v>
      </c>
      <c r="F15" s="44">
        <f t="shared" si="0"/>
        <v>32</v>
      </c>
      <c r="G15" s="44">
        <v>22</v>
      </c>
      <c r="H15" s="44">
        <f t="shared" si="1"/>
        <v>54</v>
      </c>
      <c r="I15" s="46">
        <f t="shared" si="2"/>
        <v>0.40740740740740738</v>
      </c>
      <c r="J15" s="46">
        <v>0.32</v>
      </c>
      <c r="L15" s="48" t="s">
        <v>105</v>
      </c>
      <c r="M15" s="48" t="s">
        <v>106</v>
      </c>
    </row>
    <row r="16" spans="1:14">
      <c r="L16" s="49" t="s">
        <v>83</v>
      </c>
      <c r="M16" s="50">
        <f>SUMIF('Deal Pipeline Master'!$H$4:$H$13, L16, 'Deal Pipeline Master'!$J$4:$J$13)</f>
        <v>1.2000000000000002</v>
      </c>
    </row>
    <row r="17" spans="12:13">
      <c r="L17" s="49" t="s">
        <v>67</v>
      </c>
      <c r="M17" s="50">
        <f>SUMIF('Deal Pipeline Master'!$H$4:$H$13, L17, 'Deal Pipeline Master'!$J$4:$J$13)</f>
        <v>10</v>
      </c>
    </row>
    <row r="18" spans="12:13">
      <c r="L18" s="49" t="s">
        <v>44</v>
      </c>
      <c r="M18" s="50">
        <f>SUMIF('Deal Pipeline Master'!$H$4:$H$13, L18, 'Deal Pipeline Master'!$J$4:$J$13)</f>
        <v>72.5</v>
      </c>
    </row>
    <row r="19" spans="12:13">
      <c r="L19" s="49" t="s">
        <v>35</v>
      </c>
      <c r="M19" s="50">
        <f>SUMIF('Deal Pipeline Master'!$H$4:$H$13, L19, 'Deal Pipeline Master'!$J$4:$J$13)</f>
        <v>101.25</v>
      </c>
    </row>
    <row r="20" spans="12:13">
      <c r="L20" s="49" t="s">
        <v>51</v>
      </c>
      <c r="M20" s="50">
        <f>SUMIF('Deal Pipeline Master'!$H$4:$H$13, L20, 'Deal Pipeline Master'!$J$4:$J$13)</f>
        <v>40.5</v>
      </c>
    </row>
    <row r="21" spans="12:13">
      <c r="L21" s="49" t="s">
        <v>59</v>
      </c>
      <c r="M21" s="50">
        <f>SUMIF('Deal Pipeline Master'!$H$4:$H$13, L21, 'Deal Pipeline Master'!$J$4:$J$13)</f>
        <v>180</v>
      </c>
    </row>
    <row r="22" spans="12:13">
      <c r="L22" s="49" t="s">
        <v>74</v>
      </c>
      <c r="M22" s="50">
        <f>SUMIF('Deal Pipeline Master'!$H$4:$H$13, L22, 'Deal Pipeline Master'!$J$4:$J$13)</f>
        <v>0</v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workbookViewId="0">
      <selection activeCell="F13" sqref="F13"/>
    </sheetView>
  </sheetViews>
  <sheetFormatPr defaultRowHeight="14.4"/>
  <cols>
    <col min="1" max="1" width="60" customWidth="1"/>
    <col min="2" max="2" width="39" customWidth="1"/>
    <col min="3" max="3" width="32" customWidth="1"/>
    <col min="4" max="4" width="31" customWidth="1"/>
    <col min="5" max="5" width="12" customWidth="1"/>
  </cols>
  <sheetData>
    <row r="1" spans="1:5" ht="17.399999999999999">
      <c r="A1" s="29" t="s">
        <v>107</v>
      </c>
      <c r="B1" s="25"/>
      <c r="C1" s="25"/>
      <c r="D1" s="25"/>
      <c r="E1" s="25"/>
    </row>
    <row r="3" spans="1:5">
      <c r="A3" s="31" t="s">
        <v>108</v>
      </c>
      <c r="B3" s="31" t="s">
        <v>109</v>
      </c>
      <c r="C3" s="31" t="s">
        <v>110</v>
      </c>
      <c r="D3" s="31" t="s">
        <v>111</v>
      </c>
    </row>
    <row r="4" spans="1:5">
      <c r="A4" s="2" t="s">
        <v>112</v>
      </c>
      <c r="B4" s="3" t="s">
        <v>32</v>
      </c>
      <c r="C4" s="13">
        <v>18.5</v>
      </c>
      <c r="D4" s="13">
        <v>6.5</v>
      </c>
    </row>
    <row r="5" spans="1:5">
      <c r="A5" s="2" t="s">
        <v>113</v>
      </c>
      <c r="B5" s="3" t="s">
        <v>41</v>
      </c>
      <c r="C5" s="13">
        <v>22</v>
      </c>
      <c r="D5" s="13">
        <v>5</v>
      </c>
    </row>
    <row r="6" spans="1:5">
      <c r="A6" s="2" t="s">
        <v>114</v>
      </c>
      <c r="B6" s="3" t="s">
        <v>56</v>
      </c>
      <c r="C6" s="13">
        <v>25</v>
      </c>
      <c r="D6" s="13">
        <v>8.5</v>
      </c>
    </row>
    <row r="7" spans="1:5">
      <c r="A7" s="2" t="s">
        <v>115</v>
      </c>
      <c r="B7" s="3" t="s">
        <v>72</v>
      </c>
      <c r="C7" s="13">
        <v>14</v>
      </c>
      <c r="D7" s="13">
        <v>2.5</v>
      </c>
    </row>
    <row r="8" spans="1:5">
      <c r="A8" s="2" t="s">
        <v>116</v>
      </c>
      <c r="B8" s="3" t="s">
        <v>49</v>
      </c>
      <c r="C8" s="13">
        <v>16.5</v>
      </c>
      <c r="D8" s="13">
        <v>3.2</v>
      </c>
    </row>
    <row r="9" spans="1:5">
      <c r="A9" s="2" t="s">
        <v>117</v>
      </c>
      <c r="B9" s="3" t="s">
        <v>65</v>
      </c>
      <c r="C9" s="13">
        <v>12.5</v>
      </c>
      <c r="D9" s="13">
        <v>2.8</v>
      </c>
    </row>
    <row r="12" spans="1:5" ht="17.399999999999999">
      <c r="A12" s="51" t="s">
        <v>118</v>
      </c>
      <c r="B12" s="51"/>
      <c r="C12" s="51"/>
      <c r="D12" s="51"/>
    </row>
    <row r="14" spans="1:5">
      <c r="A14" s="31" t="s">
        <v>119</v>
      </c>
      <c r="B14" s="31" t="s">
        <v>120</v>
      </c>
      <c r="C14" s="31" t="s">
        <v>121</v>
      </c>
      <c r="D14" s="31" t="s">
        <v>122</v>
      </c>
    </row>
    <row r="15" spans="1:5">
      <c r="A15" s="2" t="s">
        <v>123</v>
      </c>
      <c r="B15" s="3" t="s">
        <v>83</v>
      </c>
      <c r="C15" s="5">
        <v>0.1</v>
      </c>
      <c r="D15" s="14">
        <v>14</v>
      </c>
    </row>
    <row r="16" spans="1:5">
      <c r="A16" s="2" t="s">
        <v>124</v>
      </c>
      <c r="B16" s="3" t="s">
        <v>67</v>
      </c>
      <c r="C16" s="5">
        <v>0.25</v>
      </c>
      <c r="D16" s="14">
        <v>21</v>
      </c>
    </row>
    <row r="17" spans="1:4">
      <c r="A17" s="2" t="s">
        <v>125</v>
      </c>
      <c r="B17" s="3" t="s">
        <v>44</v>
      </c>
      <c r="C17" s="5">
        <v>0.5</v>
      </c>
      <c r="D17" s="14">
        <v>45</v>
      </c>
    </row>
    <row r="18" spans="1:4">
      <c r="A18" s="2" t="s">
        <v>126</v>
      </c>
      <c r="B18" s="3" t="s">
        <v>35</v>
      </c>
      <c r="C18" s="5">
        <v>0.75</v>
      </c>
      <c r="D18" s="14">
        <v>30</v>
      </c>
    </row>
    <row r="19" spans="1:4">
      <c r="A19" s="2" t="s">
        <v>127</v>
      </c>
      <c r="B19" s="3" t="s">
        <v>51</v>
      </c>
      <c r="C19" s="5">
        <v>0.9</v>
      </c>
      <c r="D19" s="14">
        <v>30</v>
      </c>
    </row>
    <row r="20" spans="1:4">
      <c r="A20" s="2" t="s">
        <v>128</v>
      </c>
      <c r="B20" s="3" t="s">
        <v>59</v>
      </c>
      <c r="C20" s="5">
        <v>1</v>
      </c>
      <c r="D20" s="14">
        <v>0</v>
      </c>
    </row>
    <row r="21" spans="1:4">
      <c r="A21" s="2" t="s">
        <v>129</v>
      </c>
      <c r="B21" s="3" t="s">
        <v>74</v>
      </c>
      <c r="C21" s="5">
        <v>0</v>
      </c>
      <c r="D21" s="14">
        <v>0</v>
      </c>
    </row>
  </sheetData>
  <mergeCells count="2">
    <mergeCell ref="A1:E1"/>
    <mergeCell ref="A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Executive Dashboard</vt:lpstr>
      <vt:lpstr>Deal Pipeline Master</vt:lpstr>
      <vt:lpstr>Valuation &amp; Term Sheet Model</vt:lpstr>
      <vt:lpstr>Sector &amp; Stage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2026-09-01T14:57:33Z</dcterms:created>
  <dcterms:modified xsi:type="dcterms:W3CDTF">2026-09-01T15:12:48Z</dcterms:modified>
</cp:coreProperties>
</file>