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BA25C84-345F-4B49-A2FE-78FEED7D1094}" xr6:coauthVersionLast="47" xr6:coauthVersionMax="47" xr10:uidLastSave="{00000000-0000-0000-0000-000000000000}"/>
  <bookViews>
    <workbookView xWindow="-120" yWindow="-120" windowWidth="20640" windowHeight="11760" activeTab="2" xr2:uid="{00000000-000D-0000-FFFF-FFFF00000000}"/>
  </bookViews>
  <sheets>
    <sheet name="Executive Dashboard" sheetId="1" r:id="rId1"/>
    <sheet name="Cash Flow Forecast" sheetId="2" r:id="rId2"/>
    <sheet name="Driver Assumpti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9" i="2" l="1"/>
  <c r="N30" i="2" s="1"/>
  <c r="M29" i="2"/>
  <c r="M30" i="2" s="1"/>
  <c r="L29" i="2"/>
  <c r="L30" i="2" s="1"/>
  <c r="K29" i="2"/>
  <c r="K30" i="2" s="1"/>
  <c r="J29" i="2"/>
  <c r="J30" i="2" s="1"/>
  <c r="I29" i="2"/>
  <c r="I30" i="2" s="1"/>
  <c r="H29" i="2"/>
  <c r="H30" i="2" s="1"/>
  <c r="G29" i="2"/>
  <c r="G30" i="2" s="1"/>
  <c r="F29" i="2"/>
  <c r="F30" i="2" s="1"/>
  <c r="E29" i="2"/>
  <c r="E30" i="2" s="1"/>
  <c r="D29" i="2"/>
  <c r="D30" i="2" s="1"/>
  <c r="C29" i="2"/>
  <c r="C30" i="2" s="1"/>
  <c r="O28" i="2"/>
  <c r="O27" i="2"/>
  <c r="O22" i="2"/>
  <c r="O21" i="2"/>
  <c r="N20" i="2"/>
  <c r="K20" i="2"/>
  <c r="H20" i="2"/>
  <c r="E20" i="2"/>
  <c r="N18" i="2"/>
  <c r="M18" i="2"/>
  <c r="L18" i="2"/>
  <c r="K18" i="2"/>
  <c r="J18" i="2"/>
  <c r="I18" i="2"/>
  <c r="H18" i="2"/>
  <c r="G18" i="2"/>
  <c r="F18" i="2"/>
  <c r="E18" i="2"/>
  <c r="D18" i="2"/>
  <c r="C18" i="2"/>
  <c r="O17" i="2"/>
  <c r="O16" i="2"/>
  <c r="N12" i="2"/>
  <c r="N19" i="2" s="1"/>
  <c r="M12" i="2"/>
  <c r="M19" i="2" s="1"/>
  <c r="L12" i="2"/>
  <c r="L19" i="2" s="1"/>
  <c r="K12" i="2"/>
  <c r="K19" i="2" s="1"/>
  <c r="J12" i="2"/>
  <c r="J19" i="2" s="1"/>
  <c r="I12" i="2"/>
  <c r="I19" i="2" s="1"/>
  <c r="H12" i="2"/>
  <c r="H19" i="2" s="1"/>
  <c r="G12" i="2"/>
  <c r="G19" i="2" s="1"/>
  <c r="F12" i="2"/>
  <c r="F19" i="2" s="1"/>
  <c r="E12" i="2"/>
  <c r="E19" i="2" s="1"/>
  <c r="D12" i="2"/>
  <c r="D19" i="2" s="1"/>
  <c r="C12" i="2"/>
  <c r="N11" i="2"/>
  <c r="N13" i="2" s="1"/>
  <c r="M11" i="2"/>
  <c r="M13" i="2" s="1"/>
  <c r="L11" i="2"/>
  <c r="L13" i="2" s="1"/>
  <c r="K11" i="2"/>
  <c r="K13" i="2" s="1"/>
  <c r="J11" i="2"/>
  <c r="J13" i="2" s="1"/>
  <c r="I11" i="2"/>
  <c r="I13" i="2" s="1"/>
  <c r="H11" i="2"/>
  <c r="H13" i="2" s="1"/>
  <c r="G11" i="2"/>
  <c r="G13" i="2" s="1"/>
  <c r="F11" i="2"/>
  <c r="F13" i="2" s="1"/>
  <c r="E11" i="2"/>
  <c r="E13" i="2" s="1"/>
  <c r="D11" i="2"/>
  <c r="D13" i="2" s="1"/>
  <c r="C11" i="2"/>
  <c r="O10" i="2"/>
  <c r="O9" i="2"/>
  <c r="O8" i="2"/>
  <c r="O6" i="2"/>
  <c r="D6" i="1"/>
  <c r="F24" i="2" l="1"/>
  <c r="F23" i="2"/>
  <c r="N23" i="2"/>
  <c r="J24" i="2"/>
  <c r="J31" i="2" s="1"/>
  <c r="J23" i="2"/>
  <c r="E23" i="2"/>
  <c r="I23" i="2"/>
  <c r="M23" i="2"/>
  <c r="O11" i="2"/>
  <c r="O20" i="2"/>
  <c r="O18" i="2"/>
  <c r="O12" i="2"/>
  <c r="F31" i="2"/>
  <c r="O30" i="2"/>
  <c r="G23" i="2"/>
  <c r="G24" i="2" s="1"/>
  <c r="G31" i="2" s="1"/>
  <c r="K23" i="2"/>
  <c r="K24" i="2" s="1"/>
  <c r="K31" i="2" s="1"/>
  <c r="E24" i="2"/>
  <c r="E31" i="2" s="1"/>
  <c r="I24" i="2"/>
  <c r="I31" i="2" s="1"/>
  <c r="M24" i="2"/>
  <c r="M31" i="2" s="1"/>
  <c r="N24" i="2"/>
  <c r="N31" i="2" s="1"/>
  <c r="D23" i="2"/>
  <c r="D24" i="2" s="1"/>
  <c r="D31" i="2" s="1"/>
  <c r="H23" i="2"/>
  <c r="H24" i="2" s="1"/>
  <c r="H31" i="2" s="1"/>
  <c r="L23" i="2"/>
  <c r="L24" i="2" s="1"/>
  <c r="L31" i="2" s="1"/>
  <c r="C13" i="2"/>
  <c r="C19" i="2"/>
  <c r="O19" i="2" s="1"/>
  <c r="O29" i="2"/>
  <c r="C23" i="2" l="1"/>
  <c r="O23" i="2" s="1"/>
  <c r="F6" i="1" s="1"/>
  <c r="O13" i="2"/>
  <c r="C24" i="2" l="1"/>
  <c r="C31" i="2" s="1"/>
  <c r="O24" i="2" l="1"/>
  <c r="O31" i="2"/>
  <c r="C32" i="2"/>
  <c r="D6" i="2" s="1"/>
  <c r="D32" i="2" s="1"/>
  <c r="E6" i="2" s="1"/>
  <c r="E32" i="2" s="1"/>
  <c r="F6" i="2" s="1"/>
  <c r="F32" i="2" s="1"/>
  <c r="G6" i="2" s="1"/>
  <c r="G32" i="2" s="1"/>
  <c r="H6" i="2" s="1"/>
  <c r="H32" i="2" s="1"/>
  <c r="I6" i="2" s="1"/>
  <c r="I32" i="2" s="1"/>
  <c r="J6" i="2" s="1"/>
  <c r="J32" i="2" s="1"/>
  <c r="K6" i="2" s="1"/>
  <c r="K32" i="2" s="1"/>
  <c r="L6" i="2" s="1"/>
  <c r="L32" i="2" s="1"/>
  <c r="M6" i="2" s="1"/>
  <c r="M32" i="2" s="1"/>
  <c r="N6" i="2" s="1"/>
  <c r="N32" i="2" s="1"/>
  <c r="O32" i="2" s="1"/>
  <c r="B6" i="1" s="1"/>
</calcChain>
</file>

<file path=xl/sharedStrings.xml><?xml version="1.0" encoding="utf-8"?>
<sst xmlns="http://schemas.openxmlformats.org/spreadsheetml/2006/main" count="94" uniqueCount="83">
  <si>
    <t>EXECUTIVE CASH FLOW DASHBOARD &amp; LIQUIDITY METRICS</t>
  </si>
  <si>
    <t>High-Level Summary | Financial Year 2026-27 Planning</t>
  </si>
  <si>
    <t>CLOSING CASH BALANCE (MAR-27)</t>
  </si>
  <si>
    <t>MINIMUM CASH RESERVE REQD</t>
  </si>
  <si>
    <t>AVERAGE MONTHLY RUN RATE</t>
  </si>
  <si>
    <t>12-MONTH ROLLING CASH FLOW FORECAST (FY 2026-27)</t>
  </si>
  <si>
    <t>Values in Indian Rupees (₹) | Modeled Direct Cash Flow Method</t>
  </si>
  <si>
    <t>Line Item / Line Description</t>
  </si>
  <si>
    <t>Apr-26</t>
  </si>
  <si>
    <t>May-26</t>
  </si>
  <si>
    <t>Jun-26</t>
  </si>
  <si>
    <t>Jul-26</t>
  </si>
  <si>
    <t>Aug-26</t>
  </si>
  <si>
    <t>Sep-26</t>
  </si>
  <si>
    <t>Oct-26</t>
  </si>
  <si>
    <t>Nov-26</t>
  </si>
  <si>
    <t>Dec-26</t>
  </si>
  <si>
    <t>Jan-27</t>
  </si>
  <si>
    <t>Feb-27</t>
  </si>
  <si>
    <t>Mar-27</t>
  </si>
  <si>
    <t>FY Total</t>
  </si>
  <si>
    <t>Opening Cash &amp; Bank Balance</t>
  </si>
  <si>
    <t>OPERATING CASH INFLOWS</t>
  </si>
  <si>
    <t>Domestic B2B Customer Collections</t>
  </si>
  <si>
    <t>Retail / E-Commerce Direct Cash Sales</t>
  </si>
  <si>
    <t>Export Revenue Collections</t>
  </si>
  <si>
    <t>Less: TDS Withheld by Customers (2%)</t>
  </si>
  <si>
    <t>GST Output Tax Collected (18%)</t>
  </si>
  <si>
    <t>TOTAL OPERATING CASH INFLOWS (A)</t>
  </si>
  <si>
    <t>OPERATING CASH OUTFLOWS</t>
  </si>
  <si>
    <t>Vendor Payments (Goods &amp; Services)</t>
  </si>
  <si>
    <t>Employee Salaries &amp; Wages (Net)</t>
  </si>
  <si>
    <t>Statutory PF &amp; ESI Obligations</t>
  </si>
  <si>
    <t>GST Net Cash Liability Paid</t>
  </si>
  <si>
    <t>Advance Income Tax Payments</t>
  </si>
  <si>
    <t>Office Rent &amp; Utility Infrastructure</t>
  </si>
  <si>
    <t>Marketing, Cloud &amp; Operating Expenses</t>
  </si>
  <si>
    <t>TOTAL OPERATING CASH OUTFLOWS (B)</t>
  </si>
  <si>
    <t>NET OPERATING CASH FLOW (C = A - B)</t>
  </si>
  <si>
    <t>FINANCING &amp; INVESTING CASH FLOWS</t>
  </si>
  <si>
    <t>Capital Expenditure (IT &amp; Office Assets)</t>
  </si>
  <si>
    <t>Working Capital Loan / OD Drawdown (Repayment)</t>
  </si>
  <si>
    <t>Interest Paid on Working Capital</t>
  </si>
  <si>
    <t>NET FINANCING &amp; INVESTING CASH FLOW (D)</t>
  </si>
  <si>
    <t>NET MONTHLY CASH FLOW (E = C + D)</t>
  </si>
  <si>
    <t>CLOSING CASH &amp; BANK BALANCE (F = Start + E)</t>
  </si>
  <si>
    <t>CASH FLOW FORECASTING MODEL — DRIVER ASSUMPTIONS</t>
  </si>
  <si>
    <t>Financial Year 2026-27 | Indian Business &amp; Operations Baseline</t>
  </si>
  <si>
    <t>Assumption Parameter</t>
  </si>
  <si>
    <t>Value / Base</t>
  </si>
  <si>
    <t>Unit / Metric</t>
  </si>
  <si>
    <t>Operational Context &amp; Notes</t>
  </si>
  <si>
    <t>Average Collection Period (DSO)</t>
  </si>
  <si>
    <t>Days</t>
  </si>
  <si>
    <t>Standard credit terms for Indian B2B clients (GST invoice baseline)</t>
  </si>
  <si>
    <t>Average Payable Period (DPO)</t>
  </si>
  <si>
    <t>Vendor payables terms aligned with MSME payment compliance (45-day max rule)</t>
  </si>
  <si>
    <t>Inventory Holding Period (DIO)</t>
  </si>
  <si>
    <t>Buffer stock maintenance for e-commerce / tech retail hardware</t>
  </si>
  <si>
    <t>GST Output Tax Rate (Average)</t>
  </si>
  <si>
    <t>%</t>
  </si>
  <si>
    <t>Standard GST rate applicable on services &amp; tech sales</t>
  </si>
  <si>
    <t>GST Input Tax Credit (ITC) Rate</t>
  </si>
  <si>
    <t>Estimated ITC offset available against vendor purchases</t>
  </si>
  <si>
    <t>TDS Deduction Rate (Sales Receivable)</t>
  </si>
  <si>
    <t>Section 194C / 194J TDS withheld by enterprise clients</t>
  </si>
  <si>
    <t>Minimum Required Cash Balance</t>
  </si>
  <si>
    <t>INR</t>
  </si>
  <si>
    <t>Safety reserve threshold for liquid operating cash</t>
  </si>
  <si>
    <t>Advance Tax Due Month 1 (Q1 - June)</t>
  </si>
  <si>
    <t>15% of annual estimated tax liability due 15th June</t>
  </si>
  <si>
    <t>Advance Tax Due Month 4 (Q2 - Sept)</t>
  </si>
  <si>
    <t>30% of annual estimated tax liability due 15th September</t>
  </si>
  <si>
    <t>Advance Tax Due Month 7 (Q3 - Dec)</t>
  </si>
  <si>
    <t>30% of annual estimated tax liability due 15th December</t>
  </si>
  <si>
    <t>Advance Tax Due Month 10 (Q4 - March)</t>
  </si>
  <si>
    <t>25% of annual estimated tax liability due 15th March</t>
  </si>
  <si>
    <t>Estimated Annual Tax Liability</t>
  </si>
  <si>
    <t>Projected corporate tax liability for FY 2026-27</t>
  </si>
  <si>
    <t>Employer Provident Fund (EPF) Contribution</t>
  </si>
  <si>
    <t>12% of basic payroll component mandatory contribution</t>
  </si>
  <si>
    <t>Short-term Credit Line Interest Rate (p.a.)</t>
  </si>
  <si>
    <t>Working capital overdraft facility rate (State Bank of India base 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</si>
</sst>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Days&quot;"/>
    <numFmt numFmtId="165" formatCode="0.0%"/>
    <numFmt numFmtId="166" formatCode="\₹###,000;[Red]\(\₹###,000\);&quot;-&quot;"/>
  </numFmts>
  <fonts count="12" x14ac:knownFonts="1">
    <font>
      <sz val="11"/>
      <color theme="1"/>
      <name val="Calibri"/>
      <family val="2"/>
      <scheme val="minor"/>
    </font>
    <font>
      <i/>
      <sz val="11"/>
      <color rgb="FF595959"/>
      <name val="Calibri"/>
    </font>
    <font>
      <b/>
      <sz val="11"/>
      <color rgb="FFFFFFFF"/>
      <name val="Calibri"/>
    </font>
    <font>
      <sz val="11"/>
      <name val="Calibri"/>
    </font>
    <font>
      <b/>
      <sz val="11"/>
      <name val="Calibri"/>
    </font>
    <font>
      <b/>
      <sz val="11"/>
      <color rgb="FF008080"/>
      <name val="Calibri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</font>
    <font>
      <i/>
      <sz val="11"/>
      <color theme="0"/>
      <name val="Calibri"/>
      <family val="2"/>
    </font>
    <font>
      <b/>
      <sz val="9"/>
      <color theme="0"/>
      <name val="Calibri"/>
      <family val="2"/>
    </font>
    <font>
      <b/>
      <sz val="18"/>
      <color theme="0"/>
      <name val="Calibri"/>
      <family val="2"/>
    </font>
    <font>
      <b/>
      <sz val="11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9FAFC"/>
        <bgColor rgb="FFF9FAFC"/>
      </patternFill>
    </fill>
    <fill>
      <patternFill patternType="solid">
        <fgColor rgb="FFEAECEE"/>
        <bgColor rgb="FFEAECEE"/>
      </patternFill>
    </fill>
    <fill>
      <patternFill patternType="solid">
        <fgColor rgb="FFF4F6F9"/>
        <bgColor rgb="FFF4F6F9"/>
      </patternFill>
    </fill>
    <fill>
      <patternFill patternType="solid">
        <fgColor rgb="FFD9E1F2"/>
        <bgColor rgb="FFD9E1F2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4F6F9"/>
      </patternFill>
    </fill>
    <fill>
      <patternFill patternType="solid">
        <fgColor theme="1"/>
        <bgColor rgb="FFFFFFFF"/>
      </patternFill>
    </fill>
    <fill>
      <patternFill patternType="solid">
        <fgColor theme="1"/>
        <bgColor rgb="FF1B365D"/>
      </patternFill>
    </fill>
    <fill>
      <patternFill patternType="solid">
        <fgColor theme="1"/>
        <bgColor rgb="FFEAECEE"/>
      </patternFill>
    </fill>
    <fill>
      <patternFill patternType="solid">
        <fgColor theme="0"/>
        <bgColor rgb="FFF4F6F9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7" fillId="6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9" fillId="7" borderId="1" xfId="0" applyFont="1" applyFill="1" applyBorder="1" applyAlignment="1">
      <alignment horizontal="center" vertical="center"/>
    </xf>
    <xf numFmtId="0" fontId="6" fillId="6" borderId="1" xfId="0" applyFont="1" applyFill="1" applyBorder="1"/>
    <xf numFmtId="166" fontId="10" fillId="8" borderId="1" xfId="0" applyNumberFormat="1" applyFont="1" applyFill="1" applyBorder="1" applyAlignment="1">
      <alignment horizontal="center" vertical="center"/>
    </xf>
    <xf numFmtId="0" fontId="2" fillId="9" borderId="2" xfId="0" applyFont="1" applyFill="1" applyBorder="1"/>
    <xf numFmtId="0" fontId="2" fillId="9" borderId="2" xfId="0" applyFont="1" applyFill="1" applyBorder="1" applyAlignment="1">
      <alignment horizontal="center"/>
    </xf>
    <xf numFmtId="0" fontId="4" fillId="0" borderId="2" xfId="0" applyFont="1" applyBorder="1"/>
    <xf numFmtId="166" fontId="0" fillId="0" borderId="2" xfId="0" applyNumberFormat="1" applyBorder="1"/>
    <xf numFmtId="0" fontId="5" fillId="3" borderId="2" xfId="0" applyFont="1" applyFill="1" applyBorder="1"/>
    <xf numFmtId="0" fontId="0" fillId="3" borderId="2" xfId="0" applyFill="1" applyBorder="1"/>
    <xf numFmtId="0" fontId="3" fillId="0" borderId="2" xfId="0" applyFont="1" applyBorder="1"/>
    <xf numFmtId="0" fontId="4" fillId="4" borderId="2" xfId="0" applyFont="1" applyFill="1" applyBorder="1"/>
    <xf numFmtId="166" fontId="4" fillId="4" borderId="2" xfId="0" applyNumberFormat="1" applyFont="1" applyFill="1" applyBorder="1"/>
    <xf numFmtId="0" fontId="4" fillId="4" borderId="0" xfId="0" applyFont="1" applyFill="1" applyBorder="1"/>
    <xf numFmtId="166" fontId="4" fillId="4" borderId="0" xfId="0" applyNumberFormat="1" applyFont="1" applyFill="1" applyBorder="1"/>
    <xf numFmtId="0" fontId="11" fillId="10" borderId="2" xfId="0" applyFont="1" applyFill="1" applyBorder="1"/>
    <xf numFmtId="0" fontId="6" fillId="10" borderId="2" xfId="0" applyFont="1" applyFill="1" applyBorder="1"/>
    <xf numFmtId="0" fontId="11" fillId="7" borderId="2" xfId="0" applyFont="1" applyFill="1" applyBorder="1"/>
    <xf numFmtId="0" fontId="11" fillId="11" borderId="0" xfId="0" applyFont="1" applyFill="1" applyBorder="1"/>
    <xf numFmtId="0" fontId="11" fillId="10" borderId="2" xfId="0" applyFont="1" applyFill="1" applyBorder="1" applyAlignment="1">
      <alignment horizontal="center"/>
    </xf>
    <xf numFmtId="0" fontId="4" fillId="5" borderId="2" xfId="0" applyFont="1" applyFill="1" applyBorder="1"/>
    <xf numFmtId="166" fontId="4" fillId="5" borderId="2" xfId="0" applyNumberFormat="1" applyFont="1" applyFill="1" applyBorder="1"/>
    <xf numFmtId="0" fontId="2" fillId="9" borderId="2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3" fillId="2" borderId="2" xfId="0" applyFont="1" applyFill="1" applyBorder="1"/>
    <xf numFmtId="164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/>
    <xf numFmtId="165" fontId="4" fillId="2" borderId="2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1">
    <dxf>
      <fill>
        <patternFill patternType="solid">
          <fgColor rgb="FFFFF2CC"/>
          <bgColor rgb="FFFFF2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Monthly Cash Inflows vs. Cash Outflows (FY 2026-27)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'Cash Flow Forecast'!$B$13</c:f>
              <c:strCache>
                <c:ptCount val="1"/>
                <c:pt idx="0">
                  <c:v>TOTAL OPERATING CASH INFLOWS (A)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'Cash Flow Forecast'!$C$5:$N$5</c:f>
              <c:strCache>
                <c:ptCount val="12"/>
                <c:pt idx="0">
                  <c:v>Apr-26</c:v>
                </c:pt>
                <c:pt idx="1">
                  <c:v>May-26</c:v>
                </c:pt>
                <c:pt idx="2">
                  <c:v>Jun-26</c:v>
                </c:pt>
                <c:pt idx="3">
                  <c:v>Jul-26</c:v>
                </c:pt>
                <c:pt idx="4">
                  <c:v>Aug-26</c:v>
                </c:pt>
                <c:pt idx="5">
                  <c:v>Sep-26</c:v>
                </c:pt>
                <c:pt idx="6">
                  <c:v>Oct-26</c:v>
                </c:pt>
                <c:pt idx="7">
                  <c:v>Nov-26</c:v>
                </c:pt>
                <c:pt idx="8">
                  <c:v>Dec-26</c:v>
                </c:pt>
                <c:pt idx="9">
                  <c:v>Jan-27</c:v>
                </c:pt>
                <c:pt idx="10">
                  <c:v>Feb-27</c:v>
                </c:pt>
                <c:pt idx="11">
                  <c:v>Mar-27</c:v>
                </c:pt>
              </c:strCache>
            </c:strRef>
          </c:cat>
          <c:val>
            <c:numRef>
              <c:f>'Cash Flow Forecast'!$C$13:$N$13</c:f>
              <c:numCache>
                <c:formatCode>\₹###,000;[Red]\(\₹###,000\);"-"</c:formatCode>
                <c:ptCount val="12"/>
                <c:pt idx="0">
                  <c:v>3660000</c:v>
                </c:pt>
                <c:pt idx="1">
                  <c:v>4001000</c:v>
                </c:pt>
                <c:pt idx="2">
                  <c:v>4176000</c:v>
                </c:pt>
                <c:pt idx="3">
                  <c:v>4318400</c:v>
                </c:pt>
                <c:pt idx="4">
                  <c:v>4633000</c:v>
                </c:pt>
                <c:pt idx="5">
                  <c:v>5199000</c:v>
                </c:pt>
                <c:pt idx="6">
                  <c:v>5958000</c:v>
                </c:pt>
                <c:pt idx="7">
                  <c:v>5483000</c:v>
                </c:pt>
                <c:pt idx="8">
                  <c:v>5706000</c:v>
                </c:pt>
                <c:pt idx="9">
                  <c:v>5074000</c:v>
                </c:pt>
                <c:pt idx="10">
                  <c:v>5531000</c:v>
                </c:pt>
                <c:pt idx="11">
                  <c:v>6338000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4-4CE8-B3EF-4DE9AF4BCB48}"/>
            </c:ext>
          </c:extLst>
        </c:ser>
        <c:ser>
          <c:idx val="1"/>
          <c:order val="1"/>
          <c:tx>
            <c:strRef>
              <c:f>'Cash Flow Forecast'!$B$23</c:f>
              <c:strCache>
                <c:ptCount val="1"/>
                <c:pt idx="0">
                  <c:v>TOTAL OPERATING CASH OUTFLOWS (B)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'Cash Flow Forecast'!$C$5:$N$5</c:f>
              <c:strCache>
                <c:ptCount val="12"/>
                <c:pt idx="0">
                  <c:v>Apr-26</c:v>
                </c:pt>
                <c:pt idx="1">
                  <c:v>May-26</c:v>
                </c:pt>
                <c:pt idx="2">
                  <c:v>Jun-26</c:v>
                </c:pt>
                <c:pt idx="3">
                  <c:v>Jul-26</c:v>
                </c:pt>
                <c:pt idx="4">
                  <c:v>Aug-26</c:v>
                </c:pt>
                <c:pt idx="5">
                  <c:v>Sep-26</c:v>
                </c:pt>
                <c:pt idx="6">
                  <c:v>Oct-26</c:v>
                </c:pt>
                <c:pt idx="7">
                  <c:v>Nov-26</c:v>
                </c:pt>
                <c:pt idx="8">
                  <c:v>Dec-26</c:v>
                </c:pt>
                <c:pt idx="9">
                  <c:v>Jan-27</c:v>
                </c:pt>
                <c:pt idx="10">
                  <c:v>Feb-27</c:v>
                </c:pt>
                <c:pt idx="11">
                  <c:v>Mar-27</c:v>
                </c:pt>
              </c:strCache>
            </c:strRef>
          </c:cat>
          <c:val>
            <c:numRef>
              <c:f>'Cash Flow Forecast'!$C$23:$N$23</c:f>
              <c:numCache>
                <c:formatCode>\₹###,000;[Red]\(\₹###,000\);"-"</c:formatCode>
                <c:ptCount val="12"/>
                <c:pt idx="0">
                  <c:v>3034000</c:v>
                </c:pt>
                <c:pt idx="1">
                  <c:v>3181000</c:v>
                </c:pt>
                <c:pt idx="2">
                  <c:v>3662600</c:v>
                </c:pt>
                <c:pt idx="3">
                  <c:v>3348000</c:v>
                </c:pt>
                <c:pt idx="4">
                  <c:v>3582000</c:v>
                </c:pt>
                <c:pt idx="5">
                  <c:v>4537000</c:v>
                </c:pt>
                <c:pt idx="6">
                  <c:v>4306000</c:v>
                </c:pt>
                <c:pt idx="7">
                  <c:v>4011000</c:v>
                </c:pt>
                <c:pt idx="8">
                  <c:v>4873600</c:v>
                </c:pt>
                <c:pt idx="9">
                  <c:v>3818600</c:v>
                </c:pt>
                <c:pt idx="10">
                  <c:v>4047000</c:v>
                </c:pt>
                <c:pt idx="11">
                  <c:v>5060000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F4-4CE8-B3EF-4DE9AF4BC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Month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Amount (₹ In Lakhs)</a:t>
                </a:r>
              </a:p>
            </c:rich>
          </c:tx>
          <c:overlay val="0"/>
        </c:title>
        <c:numFmt formatCode="\₹###,000;[Red]\(\₹###,000\);&quot;-&quot;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Closing Cash Balance Liquidity Trend</a:t>
            </a:r>
          </a:p>
        </c:rich>
      </c:tx>
      <c:layout>
        <c:manualLayout>
          <c:xMode val="edge"/>
          <c:yMode val="edge"/>
          <c:x val="0.15540063110088764"/>
          <c:y val="1.4111111111111111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'Cash Flow Forecast'!$B$32</c:f>
              <c:strCache>
                <c:ptCount val="1"/>
                <c:pt idx="0">
                  <c:v>CLOSING CASH &amp; BANK BALANCE (F = Start + E)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'Cash Flow Forecast'!$C$5:$N$5</c:f>
              <c:strCache>
                <c:ptCount val="12"/>
                <c:pt idx="0">
                  <c:v>Apr-26</c:v>
                </c:pt>
                <c:pt idx="1">
                  <c:v>May-26</c:v>
                </c:pt>
                <c:pt idx="2">
                  <c:v>Jun-26</c:v>
                </c:pt>
                <c:pt idx="3">
                  <c:v>Jul-26</c:v>
                </c:pt>
                <c:pt idx="4">
                  <c:v>Aug-26</c:v>
                </c:pt>
                <c:pt idx="5">
                  <c:v>Sep-26</c:v>
                </c:pt>
                <c:pt idx="6">
                  <c:v>Oct-26</c:v>
                </c:pt>
                <c:pt idx="7">
                  <c:v>Nov-26</c:v>
                </c:pt>
                <c:pt idx="8">
                  <c:v>Dec-26</c:v>
                </c:pt>
                <c:pt idx="9">
                  <c:v>Jan-27</c:v>
                </c:pt>
                <c:pt idx="10">
                  <c:v>Feb-27</c:v>
                </c:pt>
                <c:pt idx="11">
                  <c:v>Mar-27</c:v>
                </c:pt>
              </c:strCache>
            </c:strRef>
          </c:cat>
          <c:val>
            <c:numRef>
              <c:f>'Cash Flow Forecast'!$C$32:$N$32</c:f>
              <c:numCache>
                <c:formatCode>\₹###,000;[Red]\(\₹###,000\);"-"</c:formatCode>
                <c:ptCount val="12"/>
                <c:pt idx="0">
                  <c:v>1876000</c:v>
                </c:pt>
                <c:pt idx="1">
                  <c:v>2196000</c:v>
                </c:pt>
                <c:pt idx="2">
                  <c:v>2709400</c:v>
                </c:pt>
                <c:pt idx="3">
                  <c:v>3679800</c:v>
                </c:pt>
                <c:pt idx="4">
                  <c:v>4426425</c:v>
                </c:pt>
                <c:pt idx="5">
                  <c:v>5088425</c:v>
                </c:pt>
                <c:pt idx="6">
                  <c:v>6740425</c:v>
                </c:pt>
                <c:pt idx="7">
                  <c:v>8212425</c:v>
                </c:pt>
                <c:pt idx="8">
                  <c:v>8744825</c:v>
                </c:pt>
                <c:pt idx="9">
                  <c:v>10000225</c:v>
                </c:pt>
                <c:pt idx="10">
                  <c:v>11484225</c:v>
                </c:pt>
                <c:pt idx="11">
                  <c:v>12362225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57-4C98-8B10-2119846D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Month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Cash Balance (₹)</a:t>
                </a:r>
              </a:p>
            </c:rich>
          </c:tx>
          <c:layout>
            <c:manualLayout>
              <c:xMode val="edge"/>
              <c:yMode val="edge"/>
              <c:x val="2.4253472222222221E-2"/>
              <c:y val="0.31216222222222223"/>
            </c:manualLayout>
          </c:layout>
          <c:overlay val="0"/>
        </c:title>
        <c:numFmt formatCode="\₹###,000;[Red]\(\₹###,000\);&quot;-&quot;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9</xdr:row>
      <xdr:rowOff>180975</xdr:rowOff>
    </xdr:from>
    <xdr:ext cx="4867275" cy="3429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561975</xdr:colOff>
      <xdr:row>10</xdr:row>
      <xdr:rowOff>0</xdr:rowOff>
    </xdr:from>
    <xdr:ext cx="4238625" cy="3429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6"/>
  <sheetViews>
    <sheetView topLeftCell="A12" workbookViewId="0">
      <selection activeCell="C29" sqref="C29"/>
    </sheetView>
  </sheetViews>
  <sheetFormatPr defaultRowHeight="15" x14ac:dyDescent="0.25"/>
  <cols>
    <col min="1" max="1" width="3" customWidth="1"/>
    <col min="2" max="7" width="24" customWidth="1"/>
  </cols>
  <sheetData>
    <row r="2" spans="2:7" ht="21" x14ac:dyDescent="0.35">
      <c r="B2" s="1" t="s">
        <v>0</v>
      </c>
      <c r="C2" s="1"/>
      <c r="D2" s="1"/>
      <c r="E2" s="1"/>
      <c r="F2" s="1"/>
      <c r="G2" s="1"/>
    </row>
    <row r="3" spans="2:7" x14ac:dyDescent="0.25">
      <c r="B3" s="2" t="s">
        <v>1</v>
      </c>
      <c r="C3" s="2"/>
      <c r="D3" s="2"/>
      <c r="E3" s="2"/>
      <c r="F3" s="2"/>
      <c r="G3" s="2"/>
    </row>
    <row r="5" spans="2:7" x14ac:dyDescent="0.25">
      <c r="B5" s="3" t="s">
        <v>2</v>
      </c>
      <c r="C5" s="4"/>
      <c r="D5" s="3" t="s">
        <v>3</v>
      </c>
      <c r="E5" s="4"/>
      <c r="F5" s="3" t="s">
        <v>4</v>
      </c>
      <c r="G5" s="4"/>
    </row>
    <row r="6" spans="2:7" ht="23.25" x14ac:dyDescent="0.25">
      <c r="B6" s="5">
        <f>'Cash Flow Forecast'!O32</f>
        <v>12362225</v>
      </c>
      <c r="C6" s="4"/>
      <c r="D6" s="5">
        <f>'Driver Assumptions'!C12</f>
        <v>500000</v>
      </c>
      <c r="E6" s="4"/>
      <c r="F6" s="5">
        <f>'Cash Flow Forecast'!O23/12</f>
        <v>3955066.6666666665</v>
      </c>
      <c r="G6" s="4"/>
    </row>
  </sheetData>
  <mergeCells count="8">
    <mergeCell ref="B2:G2"/>
    <mergeCell ref="B3:G3"/>
    <mergeCell ref="D6:E6"/>
    <mergeCell ref="B6:C6"/>
    <mergeCell ref="B5:C5"/>
    <mergeCell ref="F5:G5"/>
    <mergeCell ref="D5:E5"/>
    <mergeCell ref="F6:G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32"/>
  <sheetViews>
    <sheetView topLeftCell="A12" workbookViewId="0">
      <selection activeCell="B32" sqref="B32"/>
    </sheetView>
  </sheetViews>
  <sheetFormatPr defaultRowHeight="15" x14ac:dyDescent="0.25"/>
  <cols>
    <col min="1" max="1" width="4" customWidth="1"/>
    <col min="2" max="2" width="38" customWidth="1"/>
    <col min="3" max="15" width="16" customWidth="1"/>
  </cols>
  <sheetData>
    <row r="2" spans="2:15" ht="21" x14ac:dyDescent="0.35">
      <c r="B2" s="1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x14ac:dyDescent="0.25">
      <c r="B3" s="2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2:15" x14ac:dyDescent="0.25">
      <c r="B5" s="6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7" t="s">
        <v>19</v>
      </c>
      <c r="O5" s="7" t="s">
        <v>20</v>
      </c>
    </row>
    <row r="6" spans="2:15" x14ac:dyDescent="0.25">
      <c r="B6" s="8" t="s">
        <v>21</v>
      </c>
      <c r="C6" s="9">
        <v>1250000</v>
      </c>
      <c r="D6" s="9">
        <f t="shared" ref="D6:N6" si="0">C32</f>
        <v>1876000</v>
      </c>
      <c r="E6" s="9">
        <f t="shared" si="0"/>
        <v>2196000</v>
      </c>
      <c r="F6" s="9">
        <f t="shared" si="0"/>
        <v>2709400</v>
      </c>
      <c r="G6" s="9">
        <f t="shared" si="0"/>
        <v>3679800</v>
      </c>
      <c r="H6" s="9">
        <f t="shared" si="0"/>
        <v>4426425</v>
      </c>
      <c r="I6" s="9">
        <f t="shared" si="0"/>
        <v>5088425</v>
      </c>
      <c r="J6" s="9">
        <f t="shared" si="0"/>
        <v>6740425</v>
      </c>
      <c r="K6" s="9">
        <f t="shared" si="0"/>
        <v>8212425</v>
      </c>
      <c r="L6" s="9">
        <f t="shared" si="0"/>
        <v>8744825</v>
      </c>
      <c r="M6" s="9">
        <f t="shared" si="0"/>
        <v>10000225</v>
      </c>
      <c r="N6" s="9">
        <f t="shared" si="0"/>
        <v>11484225</v>
      </c>
      <c r="O6" s="9">
        <f>C6</f>
        <v>1250000</v>
      </c>
    </row>
    <row r="7" spans="2:15" x14ac:dyDescent="0.25">
      <c r="B7" s="10" t="s">
        <v>22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5" x14ac:dyDescent="0.25">
      <c r="B8" s="12" t="s">
        <v>23</v>
      </c>
      <c r="C8" s="9">
        <v>2200000</v>
      </c>
      <c r="D8" s="9">
        <v>2400000</v>
      </c>
      <c r="E8" s="9">
        <v>2500000</v>
      </c>
      <c r="F8" s="9">
        <v>2600000</v>
      </c>
      <c r="G8" s="9">
        <v>2800000</v>
      </c>
      <c r="H8" s="9">
        <v>3100000</v>
      </c>
      <c r="I8" s="9">
        <v>3500000</v>
      </c>
      <c r="J8" s="9">
        <v>3200000</v>
      </c>
      <c r="K8" s="9">
        <v>3400000</v>
      </c>
      <c r="L8" s="9">
        <v>3000000</v>
      </c>
      <c r="M8" s="9">
        <v>3300000</v>
      </c>
      <c r="N8" s="9">
        <v>3800000</v>
      </c>
      <c r="O8" s="9">
        <f t="shared" ref="O8:O13" si="1">SUM(C8:N8)</f>
        <v>35800000</v>
      </c>
    </row>
    <row r="9" spans="2:15" x14ac:dyDescent="0.25">
      <c r="B9" s="12" t="s">
        <v>24</v>
      </c>
      <c r="C9" s="9">
        <v>600000</v>
      </c>
      <c r="D9" s="9">
        <v>650000</v>
      </c>
      <c r="E9" s="9">
        <v>700000</v>
      </c>
      <c r="F9" s="9">
        <v>680000</v>
      </c>
      <c r="G9" s="9">
        <v>750000</v>
      </c>
      <c r="H9" s="9">
        <v>850000</v>
      </c>
      <c r="I9" s="9">
        <v>1100000</v>
      </c>
      <c r="J9" s="9">
        <v>950000</v>
      </c>
      <c r="K9" s="9">
        <v>900000</v>
      </c>
      <c r="L9" s="9">
        <v>800000</v>
      </c>
      <c r="M9" s="9">
        <v>850000</v>
      </c>
      <c r="N9" s="9">
        <v>1000000</v>
      </c>
      <c r="O9" s="9">
        <f t="shared" si="1"/>
        <v>9830000</v>
      </c>
    </row>
    <row r="10" spans="2:15" x14ac:dyDescent="0.25">
      <c r="B10" s="12" t="s">
        <v>25</v>
      </c>
      <c r="C10" s="9">
        <v>400000</v>
      </c>
      <c r="D10" s="9">
        <v>450000</v>
      </c>
      <c r="E10" s="9">
        <v>450000</v>
      </c>
      <c r="F10" s="9">
        <v>500000</v>
      </c>
      <c r="G10" s="9">
        <v>500000</v>
      </c>
      <c r="H10" s="9">
        <v>600000</v>
      </c>
      <c r="I10" s="9">
        <v>600000</v>
      </c>
      <c r="J10" s="9">
        <v>650000</v>
      </c>
      <c r="K10" s="9">
        <v>700000</v>
      </c>
      <c r="L10" s="9">
        <v>650000</v>
      </c>
      <c r="M10" s="9">
        <v>700000</v>
      </c>
      <c r="N10" s="9">
        <v>750000</v>
      </c>
      <c r="O10" s="9">
        <f t="shared" si="1"/>
        <v>6950000</v>
      </c>
    </row>
    <row r="11" spans="2:15" x14ac:dyDescent="0.25">
      <c r="B11" s="12" t="s">
        <v>26</v>
      </c>
      <c r="C11" s="9">
        <f>-(C8*'Driver Assumptions'!$C$11)</f>
        <v>-44000</v>
      </c>
      <c r="D11" s="9">
        <f>-(D8*'Driver Assumptions'!$C$11)</f>
        <v>-48000</v>
      </c>
      <c r="E11" s="9">
        <f>-(E8*'Driver Assumptions'!$C$11)</f>
        <v>-50000</v>
      </c>
      <c r="F11" s="9">
        <f>-(F8*'Driver Assumptions'!$C$11)</f>
        <v>-52000</v>
      </c>
      <c r="G11" s="9">
        <f>-(G8*'Driver Assumptions'!$C$11)</f>
        <v>-56000</v>
      </c>
      <c r="H11" s="9">
        <f>-(H8*'Driver Assumptions'!$C$11)</f>
        <v>-62000</v>
      </c>
      <c r="I11" s="9">
        <f>-(I8*'Driver Assumptions'!$C$11)</f>
        <v>-70000</v>
      </c>
      <c r="J11" s="9">
        <f>-(J8*'Driver Assumptions'!$C$11)</f>
        <v>-64000</v>
      </c>
      <c r="K11" s="9">
        <f>-(K8*'Driver Assumptions'!$C$11)</f>
        <v>-68000</v>
      </c>
      <c r="L11" s="9">
        <f>-(L8*'Driver Assumptions'!$C$11)</f>
        <v>-60000</v>
      </c>
      <c r="M11" s="9">
        <f>-(M8*'Driver Assumptions'!$C$11)</f>
        <v>-66000</v>
      </c>
      <c r="N11" s="9">
        <f>-(N8*'Driver Assumptions'!$C$11)</f>
        <v>-76000</v>
      </c>
      <c r="O11" s="9">
        <f t="shared" si="1"/>
        <v>-716000</v>
      </c>
    </row>
    <row r="12" spans="2:15" x14ac:dyDescent="0.25">
      <c r="B12" s="12" t="s">
        <v>27</v>
      </c>
      <c r="C12" s="9">
        <f>(C8+C9)*'Driver Assumptions'!$C$9</f>
        <v>504000</v>
      </c>
      <c r="D12" s="9">
        <f>(D8+D9)*'Driver Assumptions'!$C$9</f>
        <v>549000</v>
      </c>
      <c r="E12" s="9">
        <f>(E8+E9)*'Driver Assumptions'!$C$9</f>
        <v>576000</v>
      </c>
      <c r="F12" s="9">
        <f>(F8+F9)*'Driver Assumptions'!$C$9</f>
        <v>590400</v>
      </c>
      <c r="G12" s="9">
        <f>(G8+G9)*'Driver Assumptions'!$C$9</f>
        <v>639000</v>
      </c>
      <c r="H12" s="9">
        <f>(H8+H9)*'Driver Assumptions'!$C$9</f>
        <v>711000</v>
      </c>
      <c r="I12" s="9">
        <f>(I8+I9)*'Driver Assumptions'!$C$9</f>
        <v>828000</v>
      </c>
      <c r="J12" s="9">
        <f>(J8+J9)*'Driver Assumptions'!$C$9</f>
        <v>747000</v>
      </c>
      <c r="K12" s="9">
        <f>(K8+K9)*'Driver Assumptions'!$C$9</f>
        <v>774000</v>
      </c>
      <c r="L12" s="9">
        <f>(L8+L9)*'Driver Assumptions'!$C$9</f>
        <v>684000</v>
      </c>
      <c r="M12" s="9">
        <f>(M8+M9)*'Driver Assumptions'!$C$9</f>
        <v>747000</v>
      </c>
      <c r="N12" s="9">
        <f>(N8+N9)*'Driver Assumptions'!$C$9</f>
        <v>864000</v>
      </c>
      <c r="O12" s="9">
        <f t="shared" si="1"/>
        <v>8213400</v>
      </c>
    </row>
    <row r="13" spans="2:15" x14ac:dyDescent="0.25">
      <c r="B13" s="13" t="s">
        <v>28</v>
      </c>
      <c r="C13" s="14">
        <f t="shared" ref="C13:N13" si="2">SUM(C8:C12)</f>
        <v>3660000</v>
      </c>
      <c r="D13" s="14">
        <f t="shared" si="2"/>
        <v>4001000</v>
      </c>
      <c r="E13" s="14">
        <f t="shared" si="2"/>
        <v>4176000</v>
      </c>
      <c r="F13" s="14">
        <f t="shared" si="2"/>
        <v>4318400</v>
      </c>
      <c r="G13" s="14">
        <f t="shared" si="2"/>
        <v>4633000</v>
      </c>
      <c r="H13" s="14">
        <f t="shared" si="2"/>
        <v>5199000</v>
      </c>
      <c r="I13" s="14">
        <f t="shared" si="2"/>
        <v>5958000</v>
      </c>
      <c r="J13" s="14">
        <f t="shared" si="2"/>
        <v>5483000</v>
      </c>
      <c r="K13" s="14">
        <f t="shared" si="2"/>
        <v>5706000</v>
      </c>
      <c r="L13" s="14">
        <f t="shared" si="2"/>
        <v>5074000</v>
      </c>
      <c r="M13" s="14">
        <f t="shared" si="2"/>
        <v>5531000</v>
      </c>
      <c r="N13" s="14">
        <f t="shared" si="2"/>
        <v>6338000</v>
      </c>
      <c r="O13" s="14">
        <f t="shared" si="1"/>
        <v>60077400</v>
      </c>
    </row>
    <row r="14" spans="2:15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2:15" x14ac:dyDescent="0.25">
      <c r="B15" s="17" t="s">
        <v>29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2:15" x14ac:dyDescent="0.25">
      <c r="B16" s="12" t="s">
        <v>30</v>
      </c>
      <c r="C16" s="9">
        <v>1400000</v>
      </c>
      <c r="D16" s="9">
        <v>1500000</v>
      </c>
      <c r="E16" s="9">
        <v>1550000</v>
      </c>
      <c r="F16" s="9">
        <v>1600000</v>
      </c>
      <c r="G16" s="9">
        <v>1750000</v>
      </c>
      <c r="H16" s="9">
        <v>1900000</v>
      </c>
      <c r="I16" s="9">
        <v>2200000</v>
      </c>
      <c r="J16" s="9">
        <v>2000000</v>
      </c>
      <c r="K16" s="9">
        <v>2100000</v>
      </c>
      <c r="L16" s="9">
        <v>1850000</v>
      </c>
      <c r="M16" s="9">
        <v>2000000</v>
      </c>
      <c r="N16" s="9">
        <v>2300000</v>
      </c>
      <c r="O16" s="9">
        <f t="shared" ref="O16:O24" si="3">SUM(C16:N16)</f>
        <v>22150000</v>
      </c>
    </row>
    <row r="17" spans="2:15" x14ac:dyDescent="0.25">
      <c r="B17" s="12" t="s">
        <v>31</v>
      </c>
      <c r="C17" s="9">
        <v>850000</v>
      </c>
      <c r="D17" s="9">
        <v>850000</v>
      </c>
      <c r="E17" s="9">
        <v>880000</v>
      </c>
      <c r="F17" s="9">
        <v>880000</v>
      </c>
      <c r="G17" s="9">
        <v>900000</v>
      </c>
      <c r="H17" s="9">
        <v>900000</v>
      </c>
      <c r="I17" s="9">
        <v>950000</v>
      </c>
      <c r="J17" s="9">
        <v>950000</v>
      </c>
      <c r="K17" s="9">
        <v>980000</v>
      </c>
      <c r="L17" s="9">
        <v>980000</v>
      </c>
      <c r="M17" s="9">
        <v>1000000</v>
      </c>
      <c r="N17" s="9">
        <v>1000000</v>
      </c>
      <c r="O17" s="9">
        <f t="shared" si="3"/>
        <v>11120000</v>
      </c>
    </row>
    <row r="18" spans="2:15" x14ac:dyDescent="0.25">
      <c r="B18" s="12" t="s">
        <v>32</v>
      </c>
      <c r="C18" s="9">
        <f>C17*'Driver Assumptions'!$C$18</f>
        <v>102000</v>
      </c>
      <c r="D18" s="9">
        <f>D17*'Driver Assumptions'!$C$18</f>
        <v>102000</v>
      </c>
      <c r="E18" s="9">
        <f>E17*'Driver Assumptions'!$C$18</f>
        <v>105600</v>
      </c>
      <c r="F18" s="9">
        <f>F17*'Driver Assumptions'!$C$18</f>
        <v>105600</v>
      </c>
      <c r="G18" s="9">
        <f>G17*'Driver Assumptions'!$C$18</f>
        <v>108000</v>
      </c>
      <c r="H18" s="9">
        <f>H17*'Driver Assumptions'!$C$18</f>
        <v>108000</v>
      </c>
      <c r="I18" s="9">
        <f>I17*'Driver Assumptions'!$C$18</f>
        <v>114000</v>
      </c>
      <c r="J18" s="9">
        <f>J17*'Driver Assumptions'!$C$18</f>
        <v>114000</v>
      </c>
      <c r="K18" s="9">
        <f>K17*'Driver Assumptions'!$C$18</f>
        <v>117600</v>
      </c>
      <c r="L18" s="9">
        <f>L17*'Driver Assumptions'!$C$18</f>
        <v>117600</v>
      </c>
      <c r="M18" s="9">
        <f>M17*'Driver Assumptions'!$C$18</f>
        <v>120000</v>
      </c>
      <c r="N18" s="9">
        <f>N17*'Driver Assumptions'!$C$18</f>
        <v>120000</v>
      </c>
      <c r="O18" s="9">
        <f t="shared" si="3"/>
        <v>1334400</v>
      </c>
    </row>
    <row r="19" spans="2:15" x14ac:dyDescent="0.25">
      <c r="B19" s="12" t="s">
        <v>33</v>
      </c>
      <c r="C19" s="9">
        <f>MAX(0, C12 - (C16*'Driver Assumptions'!$C$10))</f>
        <v>252000</v>
      </c>
      <c r="D19" s="9">
        <f>MAX(0, D12 - (D16*'Driver Assumptions'!$C$10))</f>
        <v>279000</v>
      </c>
      <c r="E19" s="9">
        <f>MAX(0, E12 - (E16*'Driver Assumptions'!$C$10))</f>
        <v>297000</v>
      </c>
      <c r="F19" s="9">
        <f>MAX(0, F12 - (F16*'Driver Assumptions'!$C$10))</f>
        <v>302400</v>
      </c>
      <c r="G19" s="9">
        <f>MAX(0, G12 - (G16*'Driver Assumptions'!$C$10))</f>
        <v>324000</v>
      </c>
      <c r="H19" s="9">
        <f>MAX(0, H12 - (H16*'Driver Assumptions'!$C$10))</f>
        <v>369000</v>
      </c>
      <c r="I19" s="9">
        <f>MAX(0, I12 - (I16*'Driver Assumptions'!$C$10))</f>
        <v>432000</v>
      </c>
      <c r="J19" s="9">
        <f>MAX(0, J12 - (J16*'Driver Assumptions'!$C$10))</f>
        <v>387000</v>
      </c>
      <c r="K19" s="9">
        <f>MAX(0, K12 - (K16*'Driver Assumptions'!$C$10))</f>
        <v>396000</v>
      </c>
      <c r="L19" s="9">
        <f>MAX(0, L12 - (L16*'Driver Assumptions'!$C$10))</f>
        <v>351000</v>
      </c>
      <c r="M19" s="9">
        <f>MAX(0, M12 - (M16*'Driver Assumptions'!$C$10))</f>
        <v>387000</v>
      </c>
      <c r="N19" s="9">
        <f>MAX(0, N12 - (N16*'Driver Assumptions'!$C$10))</f>
        <v>450000</v>
      </c>
      <c r="O19" s="9">
        <f t="shared" si="3"/>
        <v>4226400</v>
      </c>
    </row>
    <row r="20" spans="2:15" x14ac:dyDescent="0.25">
      <c r="B20" s="12" t="s">
        <v>34</v>
      </c>
      <c r="C20" s="9">
        <v>0</v>
      </c>
      <c r="D20" s="9">
        <v>0</v>
      </c>
      <c r="E20" s="9">
        <f>'Driver Assumptions'!$C$17*'Driver Assumptions'!$C$13</f>
        <v>360000</v>
      </c>
      <c r="F20" s="9">
        <v>0</v>
      </c>
      <c r="G20" s="9">
        <v>0</v>
      </c>
      <c r="H20" s="9">
        <f>'Driver Assumptions'!$C$17*'Driver Assumptions'!$C$14</f>
        <v>720000</v>
      </c>
      <c r="I20" s="9">
        <v>0</v>
      </c>
      <c r="J20" s="9">
        <v>0</v>
      </c>
      <c r="K20" s="9">
        <f>'Driver Assumptions'!$C$17*'Driver Assumptions'!$C$15</f>
        <v>720000</v>
      </c>
      <c r="L20" s="9">
        <v>0</v>
      </c>
      <c r="M20" s="9">
        <v>0</v>
      </c>
      <c r="N20" s="9">
        <f>'Driver Assumptions'!$C$17*'Driver Assumptions'!$C$16</f>
        <v>600000</v>
      </c>
      <c r="O20" s="9">
        <f t="shared" si="3"/>
        <v>2400000</v>
      </c>
    </row>
    <row r="21" spans="2:15" x14ac:dyDescent="0.25">
      <c r="B21" s="12" t="s">
        <v>35</v>
      </c>
      <c r="C21" s="9">
        <v>250000</v>
      </c>
      <c r="D21" s="9">
        <v>250000</v>
      </c>
      <c r="E21" s="9">
        <v>250000</v>
      </c>
      <c r="F21" s="9">
        <v>250000</v>
      </c>
      <c r="G21" s="9">
        <v>260000</v>
      </c>
      <c r="H21" s="9">
        <v>260000</v>
      </c>
      <c r="I21" s="9">
        <v>260000</v>
      </c>
      <c r="J21" s="9">
        <v>260000</v>
      </c>
      <c r="K21" s="9">
        <v>270000</v>
      </c>
      <c r="L21" s="9">
        <v>270000</v>
      </c>
      <c r="M21" s="9">
        <v>270000</v>
      </c>
      <c r="N21" s="9">
        <v>270000</v>
      </c>
      <c r="O21" s="9">
        <f t="shared" si="3"/>
        <v>3120000</v>
      </c>
    </row>
    <row r="22" spans="2:15" x14ac:dyDescent="0.25">
      <c r="B22" s="12" t="s">
        <v>36</v>
      </c>
      <c r="C22" s="9">
        <v>180000</v>
      </c>
      <c r="D22" s="9">
        <v>200000</v>
      </c>
      <c r="E22" s="9">
        <v>220000</v>
      </c>
      <c r="F22" s="9">
        <v>210000</v>
      </c>
      <c r="G22" s="9">
        <v>240000</v>
      </c>
      <c r="H22" s="9">
        <v>280000</v>
      </c>
      <c r="I22" s="9">
        <v>350000</v>
      </c>
      <c r="J22" s="9">
        <v>300000</v>
      </c>
      <c r="K22" s="9">
        <v>290000</v>
      </c>
      <c r="L22" s="9">
        <v>250000</v>
      </c>
      <c r="M22" s="9">
        <v>270000</v>
      </c>
      <c r="N22" s="9">
        <v>320000</v>
      </c>
      <c r="O22" s="9">
        <f t="shared" si="3"/>
        <v>3110000</v>
      </c>
    </row>
    <row r="23" spans="2:15" x14ac:dyDescent="0.25">
      <c r="B23" s="13" t="s">
        <v>37</v>
      </c>
      <c r="C23" s="14">
        <f t="shared" ref="C23:N23" si="4">SUM(C16:C22)</f>
        <v>3034000</v>
      </c>
      <c r="D23" s="14">
        <f t="shared" si="4"/>
        <v>3181000</v>
      </c>
      <c r="E23" s="14">
        <f t="shared" si="4"/>
        <v>3662600</v>
      </c>
      <c r="F23" s="14">
        <f t="shared" si="4"/>
        <v>3348000</v>
      </c>
      <c r="G23" s="14">
        <f t="shared" si="4"/>
        <v>3582000</v>
      </c>
      <c r="H23" s="14">
        <f t="shared" si="4"/>
        <v>4537000</v>
      </c>
      <c r="I23" s="14">
        <f t="shared" si="4"/>
        <v>4306000</v>
      </c>
      <c r="J23" s="14">
        <f t="shared" si="4"/>
        <v>4011000</v>
      </c>
      <c r="K23" s="14">
        <f t="shared" si="4"/>
        <v>4873600</v>
      </c>
      <c r="L23" s="14">
        <f t="shared" si="4"/>
        <v>3818600</v>
      </c>
      <c r="M23" s="14">
        <f t="shared" si="4"/>
        <v>4047000</v>
      </c>
      <c r="N23" s="14">
        <f t="shared" si="4"/>
        <v>5060000</v>
      </c>
      <c r="O23" s="14">
        <f t="shared" si="3"/>
        <v>47460800</v>
      </c>
    </row>
    <row r="24" spans="2:15" x14ac:dyDescent="0.25">
      <c r="B24" s="19" t="s">
        <v>38</v>
      </c>
      <c r="C24" s="14">
        <f t="shared" ref="C24:N24" si="5">C13-C23</f>
        <v>626000</v>
      </c>
      <c r="D24" s="14">
        <f t="shared" si="5"/>
        <v>820000</v>
      </c>
      <c r="E24" s="14">
        <f t="shared" si="5"/>
        <v>513400</v>
      </c>
      <c r="F24" s="14">
        <f t="shared" si="5"/>
        <v>970400</v>
      </c>
      <c r="G24" s="14">
        <f t="shared" si="5"/>
        <v>1051000</v>
      </c>
      <c r="H24" s="14">
        <f t="shared" si="5"/>
        <v>662000</v>
      </c>
      <c r="I24" s="14">
        <f t="shared" si="5"/>
        <v>1652000</v>
      </c>
      <c r="J24" s="14">
        <f t="shared" si="5"/>
        <v>1472000</v>
      </c>
      <c r="K24" s="14">
        <f t="shared" si="5"/>
        <v>832400</v>
      </c>
      <c r="L24" s="14">
        <f t="shared" si="5"/>
        <v>1255400</v>
      </c>
      <c r="M24" s="14">
        <f t="shared" si="5"/>
        <v>1484000</v>
      </c>
      <c r="N24" s="14">
        <f t="shared" si="5"/>
        <v>1278000</v>
      </c>
      <c r="O24" s="14">
        <f t="shared" si="3"/>
        <v>12616600</v>
      </c>
    </row>
    <row r="25" spans="2:15" x14ac:dyDescent="0.25">
      <c r="B25" s="20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2:15" x14ac:dyDescent="0.25">
      <c r="B26" s="21" t="s">
        <v>39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2:15" x14ac:dyDescent="0.25">
      <c r="B27" s="12" t="s">
        <v>40</v>
      </c>
      <c r="C27" s="9">
        <v>0</v>
      </c>
      <c r="D27" s="9">
        <v>500000</v>
      </c>
      <c r="E27" s="9">
        <v>0</v>
      </c>
      <c r="F27" s="9">
        <v>0</v>
      </c>
      <c r="G27" s="9">
        <v>800000</v>
      </c>
      <c r="H27" s="9">
        <v>0</v>
      </c>
      <c r="I27" s="9">
        <v>0</v>
      </c>
      <c r="J27" s="9">
        <v>0</v>
      </c>
      <c r="K27" s="9">
        <v>300000</v>
      </c>
      <c r="L27" s="9">
        <v>0</v>
      </c>
      <c r="M27" s="9">
        <v>0</v>
      </c>
      <c r="N27" s="9">
        <v>400000</v>
      </c>
      <c r="O27" s="9">
        <f>SUM(C27:N27)</f>
        <v>2000000</v>
      </c>
    </row>
    <row r="28" spans="2:15" x14ac:dyDescent="0.25">
      <c r="B28" s="12" t="s">
        <v>41</v>
      </c>
      <c r="C28" s="9">
        <v>0</v>
      </c>
      <c r="D28" s="9">
        <v>0</v>
      </c>
      <c r="E28" s="9">
        <v>0</v>
      </c>
      <c r="F28" s="9">
        <v>0</v>
      </c>
      <c r="G28" s="9">
        <v>500000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f>SUM(C28:N28)</f>
        <v>500000</v>
      </c>
    </row>
    <row r="29" spans="2:15" x14ac:dyDescent="0.25">
      <c r="B29" s="12" t="s">
        <v>42</v>
      </c>
      <c r="C29" s="9">
        <f>IF(C28&gt;0, C28*('Driver Assumptions'!$C$19/12), 0)</f>
        <v>0</v>
      </c>
      <c r="D29" s="9">
        <f>IF(D28&gt;0, D28*('Driver Assumptions'!$C$19/12), 0)</f>
        <v>0</v>
      </c>
      <c r="E29" s="9">
        <f>IF(E28&gt;0, E28*('Driver Assumptions'!$C$19/12), 0)</f>
        <v>0</v>
      </c>
      <c r="F29" s="9">
        <f>IF(F28&gt;0, F28*('Driver Assumptions'!$C$19/12), 0)</f>
        <v>0</v>
      </c>
      <c r="G29" s="9">
        <f>IF(G28&gt;0, G28*('Driver Assumptions'!$C$19/12), 0)</f>
        <v>4375</v>
      </c>
      <c r="H29" s="9">
        <f>IF(H28&gt;0, H28*('Driver Assumptions'!$C$19/12), 0)</f>
        <v>0</v>
      </c>
      <c r="I29" s="9">
        <f>IF(I28&gt;0, I28*('Driver Assumptions'!$C$19/12), 0)</f>
        <v>0</v>
      </c>
      <c r="J29" s="9">
        <f>IF(J28&gt;0, J28*('Driver Assumptions'!$C$19/12), 0)</f>
        <v>0</v>
      </c>
      <c r="K29" s="9">
        <f>IF(K28&gt;0, K28*('Driver Assumptions'!$C$19/12), 0)</f>
        <v>0</v>
      </c>
      <c r="L29" s="9">
        <f>IF(L28&gt;0, L28*('Driver Assumptions'!$C$19/12), 0)</f>
        <v>0</v>
      </c>
      <c r="M29" s="9">
        <f>IF(M28&gt;0, M28*('Driver Assumptions'!$C$19/12), 0)</f>
        <v>0</v>
      </c>
      <c r="N29" s="9">
        <f>IF(N28&gt;0, N28*('Driver Assumptions'!$C$19/12), 0)</f>
        <v>0</v>
      </c>
      <c r="O29" s="9">
        <f>SUM(C29:N29)</f>
        <v>4375</v>
      </c>
    </row>
    <row r="30" spans="2:15" x14ac:dyDescent="0.25">
      <c r="B30" s="13" t="s">
        <v>43</v>
      </c>
      <c r="C30" s="14">
        <f t="shared" ref="C30:N30" si="6">C28-C27-C29</f>
        <v>0</v>
      </c>
      <c r="D30" s="14">
        <f t="shared" si="6"/>
        <v>-500000</v>
      </c>
      <c r="E30" s="14">
        <f t="shared" si="6"/>
        <v>0</v>
      </c>
      <c r="F30" s="14">
        <f t="shared" si="6"/>
        <v>0</v>
      </c>
      <c r="G30" s="14">
        <f t="shared" si="6"/>
        <v>-304375</v>
      </c>
      <c r="H30" s="14">
        <f t="shared" si="6"/>
        <v>0</v>
      </c>
      <c r="I30" s="14">
        <f t="shared" si="6"/>
        <v>0</v>
      </c>
      <c r="J30" s="14">
        <f t="shared" si="6"/>
        <v>0</v>
      </c>
      <c r="K30" s="14">
        <f t="shared" si="6"/>
        <v>-300000</v>
      </c>
      <c r="L30" s="14">
        <f t="shared" si="6"/>
        <v>0</v>
      </c>
      <c r="M30" s="14">
        <f t="shared" si="6"/>
        <v>0</v>
      </c>
      <c r="N30" s="14">
        <f t="shared" si="6"/>
        <v>-400000</v>
      </c>
      <c r="O30" s="14">
        <f>SUM(C30:N30)</f>
        <v>-1504375</v>
      </c>
    </row>
    <row r="31" spans="2:15" x14ac:dyDescent="0.25">
      <c r="B31" s="13" t="s">
        <v>44</v>
      </c>
      <c r="C31" s="14">
        <f>C24+C30</f>
        <v>626000</v>
      </c>
      <c r="D31" s="14">
        <f>D24+D30</f>
        <v>320000</v>
      </c>
      <c r="E31" s="14">
        <f>E24+E30</f>
        <v>513400</v>
      </c>
      <c r="F31" s="14">
        <f>F24+F30</f>
        <v>970400</v>
      </c>
      <c r="G31" s="14">
        <f>G24+G30</f>
        <v>746625</v>
      </c>
      <c r="H31" s="14">
        <f>H24+H30</f>
        <v>662000</v>
      </c>
      <c r="I31" s="14">
        <f>I24+I30</f>
        <v>1652000</v>
      </c>
      <c r="J31" s="14">
        <f>J24+J30</f>
        <v>1472000</v>
      </c>
      <c r="K31" s="14">
        <f>K24+K30</f>
        <v>532400</v>
      </c>
      <c r="L31" s="14">
        <f>L24+L30</f>
        <v>1255400</v>
      </c>
      <c r="M31" s="14">
        <f>M24+M30</f>
        <v>1484000</v>
      </c>
      <c r="N31" s="14">
        <f>N24+N30</f>
        <v>878000</v>
      </c>
      <c r="O31" s="14">
        <f>SUM(C31:N31)</f>
        <v>11112225</v>
      </c>
    </row>
    <row r="32" spans="2:15" x14ac:dyDescent="0.25">
      <c r="B32" s="22" t="s">
        <v>45</v>
      </c>
      <c r="C32" s="23">
        <f>C6+C31</f>
        <v>1876000</v>
      </c>
      <c r="D32" s="23">
        <f>D6+D31</f>
        <v>2196000</v>
      </c>
      <c r="E32" s="23">
        <f>E6+E31</f>
        <v>2709400</v>
      </c>
      <c r="F32" s="23">
        <f>F6+F31</f>
        <v>3679800</v>
      </c>
      <c r="G32" s="23">
        <f>G6+G31</f>
        <v>4426425</v>
      </c>
      <c r="H32" s="23">
        <f>H6+H31</f>
        <v>5088425</v>
      </c>
      <c r="I32" s="23">
        <f>I6+I31</f>
        <v>6740425</v>
      </c>
      <c r="J32" s="23">
        <f>J6+J31</f>
        <v>8212425</v>
      </c>
      <c r="K32" s="23">
        <f>K6+K31</f>
        <v>8744825</v>
      </c>
      <c r="L32" s="23">
        <f>L6+L31</f>
        <v>10000225</v>
      </c>
      <c r="M32" s="23">
        <f>M6+M31</f>
        <v>11484225</v>
      </c>
      <c r="N32" s="23">
        <f>N6+N31</f>
        <v>12362225</v>
      </c>
      <c r="O32" s="23">
        <f>N32</f>
        <v>12362225</v>
      </c>
    </row>
  </sheetData>
  <mergeCells count="3">
    <mergeCell ref="B2:O2"/>
    <mergeCell ref="B3:O3"/>
    <mergeCell ref="B26:O26"/>
  </mergeCells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00000000-000E-0000-0100-000001000000}">
            <xm:f>'Driver Assumptions'!$C$12</xm:f>
            <x14:dxf>
              <fill>
                <patternFill patternType="solid">
                  <fgColor rgb="FFFFF2CC"/>
                  <bgColor rgb="FFFFF2CC"/>
                </patternFill>
              </fill>
            </x14:dxf>
          </x14:cfRule>
          <xm:sqref>C32:N32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9"/>
  <sheetViews>
    <sheetView tabSelected="1" workbookViewId="0">
      <selection activeCell="B6" sqref="B6"/>
    </sheetView>
  </sheetViews>
  <sheetFormatPr defaultRowHeight="15" x14ac:dyDescent="0.25"/>
  <cols>
    <col min="1" max="1" width="4" customWidth="1"/>
    <col min="2" max="2" width="38" customWidth="1"/>
    <col min="3" max="3" width="18" customWidth="1"/>
    <col min="4" max="4" width="16" customWidth="1"/>
    <col min="5" max="5" width="75.7109375" bestFit="1" customWidth="1"/>
  </cols>
  <sheetData>
    <row r="2" spans="2:5" ht="21" x14ac:dyDescent="0.35">
      <c r="B2" s="1" t="s">
        <v>46</v>
      </c>
      <c r="C2" s="1"/>
      <c r="D2" s="1"/>
      <c r="E2" s="1"/>
    </row>
    <row r="3" spans="2:5" x14ac:dyDescent="0.25">
      <c r="B3" s="2" t="s">
        <v>47</v>
      </c>
      <c r="C3" s="2"/>
      <c r="D3" s="2"/>
      <c r="E3" s="2"/>
    </row>
    <row r="5" spans="2:5" x14ac:dyDescent="0.25">
      <c r="B5" s="24" t="s">
        <v>48</v>
      </c>
      <c r="C5" s="25" t="s">
        <v>49</v>
      </c>
      <c r="D5" s="25" t="s">
        <v>50</v>
      </c>
      <c r="E5" s="24" t="s">
        <v>51</v>
      </c>
    </row>
    <row r="6" spans="2:5" x14ac:dyDescent="0.25">
      <c r="B6" s="12" t="s">
        <v>52</v>
      </c>
      <c r="C6" s="26">
        <v>45</v>
      </c>
      <c r="D6" s="27" t="s">
        <v>53</v>
      </c>
      <c r="E6" s="28" t="s">
        <v>54</v>
      </c>
    </row>
    <row r="7" spans="2:5" x14ac:dyDescent="0.25">
      <c r="B7" s="29" t="s">
        <v>55</v>
      </c>
      <c r="C7" s="30">
        <v>30</v>
      </c>
      <c r="D7" s="31" t="s">
        <v>53</v>
      </c>
      <c r="E7" s="32" t="s">
        <v>56</v>
      </c>
    </row>
    <row r="8" spans="2:5" x14ac:dyDescent="0.25">
      <c r="B8" s="12" t="s">
        <v>57</v>
      </c>
      <c r="C8" s="26">
        <v>20</v>
      </c>
      <c r="D8" s="27" t="s">
        <v>53</v>
      </c>
      <c r="E8" s="28" t="s">
        <v>58</v>
      </c>
    </row>
    <row r="9" spans="2:5" x14ac:dyDescent="0.25">
      <c r="B9" s="29" t="s">
        <v>59</v>
      </c>
      <c r="C9" s="33">
        <v>0.18</v>
      </c>
      <c r="D9" s="31" t="s">
        <v>60</v>
      </c>
      <c r="E9" s="32" t="s">
        <v>61</v>
      </c>
    </row>
    <row r="10" spans="2:5" x14ac:dyDescent="0.25">
      <c r="B10" s="12" t="s">
        <v>62</v>
      </c>
      <c r="C10" s="34">
        <v>0.18</v>
      </c>
      <c r="D10" s="27" t="s">
        <v>60</v>
      </c>
      <c r="E10" s="28" t="s">
        <v>63</v>
      </c>
    </row>
    <row r="11" spans="2:5" x14ac:dyDescent="0.25">
      <c r="B11" s="29" t="s">
        <v>64</v>
      </c>
      <c r="C11" s="33">
        <v>0.02</v>
      </c>
      <c r="D11" s="31" t="s">
        <v>60</v>
      </c>
      <c r="E11" s="32" t="s">
        <v>65</v>
      </c>
    </row>
    <row r="12" spans="2:5" x14ac:dyDescent="0.25">
      <c r="B12" s="12" t="s">
        <v>66</v>
      </c>
      <c r="C12" s="35">
        <v>500000</v>
      </c>
      <c r="D12" s="27" t="s">
        <v>67</v>
      </c>
      <c r="E12" s="28" t="s">
        <v>68</v>
      </c>
    </row>
    <row r="13" spans="2:5" x14ac:dyDescent="0.25">
      <c r="B13" s="29" t="s">
        <v>69</v>
      </c>
      <c r="C13" s="33">
        <v>0.15</v>
      </c>
      <c r="D13" s="31" t="s">
        <v>60</v>
      </c>
      <c r="E13" s="32" t="s">
        <v>70</v>
      </c>
    </row>
    <row r="14" spans="2:5" x14ac:dyDescent="0.25">
      <c r="B14" s="12" t="s">
        <v>71</v>
      </c>
      <c r="C14" s="34">
        <v>0.3</v>
      </c>
      <c r="D14" s="27" t="s">
        <v>60</v>
      </c>
      <c r="E14" s="28" t="s">
        <v>72</v>
      </c>
    </row>
    <row r="15" spans="2:5" x14ac:dyDescent="0.25">
      <c r="B15" s="29" t="s">
        <v>73</v>
      </c>
      <c r="C15" s="33">
        <v>0.3</v>
      </c>
      <c r="D15" s="31" t="s">
        <v>60</v>
      </c>
      <c r="E15" s="32" t="s">
        <v>74</v>
      </c>
    </row>
    <row r="16" spans="2:5" x14ac:dyDescent="0.25">
      <c r="B16" s="12" t="s">
        <v>75</v>
      </c>
      <c r="C16" s="34">
        <v>0.25</v>
      </c>
      <c r="D16" s="27" t="s">
        <v>60</v>
      </c>
      <c r="E16" s="28" t="s">
        <v>76</v>
      </c>
    </row>
    <row r="17" spans="2:5" x14ac:dyDescent="0.25">
      <c r="B17" s="29" t="s">
        <v>77</v>
      </c>
      <c r="C17" s="36">
        <v>2400000</v>
      </c>
      <c r="D17" s="31" t="s">
        <v>67</v>
      </c>
      <c r="E17" s="32" t="s">
        <v>78</v>
      </c>
    </row>
    <row r="18" spans="2:5" x14ac:dyDescent="0.25">
      <c r="B18" s="12" t="s">
        <v>79</v>
      </c>
      <c r="C18" s="34">
        <v>0.12</v>
      </c>
      <c r="D18" s="27" t="s">
        <v>60</v>
      </c>
      <c r="E18" s="28" t="s">
        <v>80</v>
      </c>
    </row>
    <row r="19" spans="2:5" x14ac:dyDescent="0.25">
      <c r="B19" s="29" t="s">
        <v>81</v>
      </c>
      <c r="C19" s="33">
        <v>0.105</v>
      </c>
      <c r="D19" s="31" t="s">
        <v>60</v>
      </c>
      <c r="E19" s="32" t="s">
        <v>82</v>
      </c>
    </row>
  </sheetData>
  <mergeCells count="2">
    <mergeCell ref="B2:E2"/>
    <mergeCell ref="B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Executive Dashboard</vt:lpstr>
      <vt:lpstr>Cash Flow Forecast</vt:lpstr>
      <vt:lpstr>Driver Assumptions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Aryan Pamwani</cp:lastModifiedBy>
  <dcterms:created xsi:type="dcterms:W3CDTF">2026-09-02T03:46:54Z</dcterms:created>
  <dcterms:modified xsi:type="dcterms:W3CDTF">2026-09-03T09:15:41Z</dcterms:modified>
</cp:coreProperties>
</file>